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LaurenValdez\Dropbox (RHP)\Portfolio\Richmond Summit\01 Development\DCA\2023\2023 9% Application\2023-0xxRichSummAppFldr\"/>
    </mc:Choice>
  </mc:AlternateContent>
  <xr:revisionPtr revIDLastSave="0" documentId="8_{51E95021-FA6C-4A5A-B9D0-8D86D06BD1DA}"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4560" yWindow="1335" windowWidth="24105" windowHeight="11610" tabRatio="872" firstSheet="3"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4" i="75" l="1"/>
  <c r="J184" i="75" s="1"/>
  <c r="K184" i="75" s="1"/>
  <c r="L184" i="75" s="1"/>
  <c r="M184" i="75" s="1"/>
  <c r="N184" i="75" s="1"/>
  <c r="O184" i="75" s="1"/>
  <c r="P184" i="75" s="1"/>
  <c r="Q184" i="75" s="1"/>
  <c r="H193" i="75" s="1"/>
  <c r="I193" i="75" s="1"/>
  <c r="J193" i="75" s="1"/>
  <c r="K193" i="75" s="1"/>
  <c r="L193" i="75" s="1"/>
  <c r="M193" i="75" s="1"/>
  <c r="N193" i="75" s="1"/>
  <c r="O193" i="75" s="1"/>
  <c r="P193" i="75" s="1"/>
  <c r="Q193" i="75" s="1"/>
  <c r="H202" i="75" s="1"/>
  <c r="I202" i="75" s="1"/>
  <c r="J202" i="75" s="1"/>
  <c r="K202" i="75" s="1"/>
  <c r="L202" i="75" s="1"/>
  <c r="M202" i="75" s="1"/>
  <c r="N202" i="75" s="1"/>
  <c r="O202" i="75" s="1"/>
  <c r="P202" i="75" s="1"/>
  <c r="Q202" i="75" s="1"/>
  <c r="H211" i="75" s="1"/>
  <c r="I211" i="75" s="1"/>
  <c r="J211" i="75" s="1"/>
  <c r="K211" i="75" s="1"/>
  <c r="L211" i="75" s="1"/>
  <c r="P31" i="78" l="1"/>
  <c r="AK1600" i="103"/>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7" i="103"/>
  <c r="S175" i="103"/>
  <c r="S174" i="103"/>
  <c r="P185" i="103"/>
  <c r="P184" i="103"/>
  <c r="P180" i="103"/>
  <c r="P179"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8" i="103"/>
  <c r="G179" i="103"/>
  <c r="G180"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M153" i="103"/>
  <c r="M152" i="103"/>
  <c r="M151" i="103"/>
  <c r="J153" i="103"/>
  <c r="J152" i="103"/>
  <c r="J151" i="103"/>
  <c r="S134" i="103"/>
  <c r="G134"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M235" i="103"/>
  <c r="J235" i="103"/>
  <c r="G201" i="103"/>
  <c r="G174" i="103"/>
  <c r="S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7" i="103"/>
  <c r="I98"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I84" i="103"/>
  <c r="I85" i="103"/>
  <c r="I86" i="103"/>
  <c r="I87" i="103"/>
  <c r="C86" i="103"/>
  <c r="E84" i="103"/>
  <c r="E85" i="103"/>
  <c r="E86" i="103"/>
  <c r="E87" i="103"/>
  <c r="E88" i="103"/>
  <c r="E83" i="103"/>
  <c r="P66" i="103"/>
  <c r="P67" i="103"/>
  <c r="P65" i="103"/>
  <c r="N66" i="103"/>
  <c r="N67" i="103"/>
  <c r="N65" i="103"/>
  <c r="L66" i="103"/>
  <c r="L67" i="103"/>
  <c r="L68" i="103"/>
  <c r="L69" i="103"/>
  <c r="L70" i="103"/>
  <c r="L74"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AH449" i="102"/>
  <c r="AH1600" i="103" s="1"/>
  <c r="M302" i="103"/>
  <c r="AI449" i="102"/>
  <c r="AI1600" i="103" s="1"/>
  <c r="BH449" i="102"/>
  <c r="BH1600" i="103" s="1"/>
  <c r="E21" i="102"/>
  <c r="E1172" i="103" s="1"/>
  <c r="O1351" i="103"/>
  <c r="C1187" i="103"/>
  <c r="E34" i="102"/>
  <c r="AJ449" i="102"/>
  <c r="AJ1600" i="103" s="1"/>
  <c r="R312" i="102"/>
  <c r="O1463" i="103"/>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M154" i="103"/>
  <c r="G149" i="103"/>
  <c r="S149" i="103"/>
  <c r="U185" i="103"/>
  <c r="M199" i="103"/>
  <c r="S199" i="103"/>
  <c r="J205" i="103"/>
  <c r="M205" i="103"/>
  <c r="P205" i="103"/>
  <c r="G216" i="103"/>
  <c r="S227"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J186" i="103"/>
  <c r="M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J199"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M131" i="103"/>
  <c r="M257" i="103"/>
  <c r="J149" i="103"/>
  <c r="P14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BB1584"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L598"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Q610" i="103"/>
  <c r="M517" i="103"/>
  <c r="M526" i="103"/>
  <c r="O6" i="102"/>
  <c r="P6" i="102"/>
  <c r="BF424" i="102"/>
  <c r="BF449" i="102" s="1"/>
  <c r="BF1600" i="103" s="1"/>
  <c r="L179" i="102"/>
  <c r="AZ430" i="102"/>
  <c r="AZ449" i="102" s="1"/>
  <c r="AZ1600" i="103" s="1"/>
  <c r="N144" i="102"/>
  <c r="E19" i="102"/>
  <c r="E1170" i="103" s="1"/>
  <c r="AY430" i="102"/>
  <c r="AY449" i="102" s="1"/>
  <c r="AY1600" i="103" s="1"/>
  <c r="M529" i="103" l="1"/>
  <c r="M618" i="103"/>
  <c r="M535" i="103"/>
  <c r="M523" i="103"/>
  <c r="N526" i="103"/>
  <c r="Q614" i="103"/>
  <c r="L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0" i="100"/>
  <c r="G60" i="100"/>
  <c r="E60" i="100"/>
  <c r="I59" i="100"/>
  <c r="G59" i="100"/>
  <c r="I58" i="100"/>
  <c r="C34" i="100"/>
  <c r="A2" i="100" l="1"/>
  <c r="H1" i="95"/>
  <c r="A1" i="87"/>
  <c r="A2" i="83"/>
  <c r="E15" i="89"/>
  <c r="C1" i="86"/>
  <c r="F12" i="85"/>
  <c r="H1" i="91"/>
  <c r="C28" i="90"/>
  <c r="A47" i="100"/>
  <c r="D753" i="103"/>
  <c r="C763" i="103"/>
  <c r="H2" i="95"/>
  <c r="H2" i="91"/>
  <c r="A2" i="90"/>
  <c r="F13" i="85"/>
  <c r="A1" i="89"/>
  <c r="K58" i="100"/>
  <c r="E58" i="100"/>
  <c r="K59" i="100"/>
  <c r="G58" i="100"/>
  <c r="E59" i="100"/>
  <c r="K60" i="100"/>
  <c r="K66" i="100"/>
  <c r="D763" i="103" l="1"/>
  <c r="E753" i="103"/>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S86" i="78"/>
  <c r="M86" i="78"/>
  <c r="J86" i="78"/>
  <c r="M73" i="78"/>
  <c r="J73" i="78"/>
  <c r="S135" i="78"/>
  <c r="G135" i="78"/>
  <c r="S103" i="78"/>
  <c r="G103"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114" i="78"/>
  <c r="G114"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E5" i="86"/>
  <c r="E4" i="86"/>
  <c r="G49" i="86"/>
  <c r="F49" i="86"/>
  <c r="E49" i="86"/>
  <c r="D49" i="86"/>
  <c r="F78" i="89"/>
  <c r="E185" i="90" s="1"/>
  <c r="F76" i="89"/>
  <c r="E173" i="90" s="1"/>
  <c r="F74" i="89"/>
  <c r="E168"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F819" i="103" s="1"/>
  <c r="K212" i="75"/>
  <c r="E112" i="74" s="1"/>
  <c r="E819" i="103" s="1"/>
  <c r="J212" i="75"/>
  <c r="D112" i="74" s="1"/>
  <c r="D819" i="103" s="1"/>
  <c r="I212" i="75"/>
  <c r="C112" i="74" s="1"/>
  <c r="C819" i="103" s="1"/>
  <c r="H212" i="75"/>
  <c r="B112" i="74" s="1"/>
  <c r="B819" i="103"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D56" i="86" l="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J23" i="75"/>
  <c r="J470" i="103" s="1"/>
  <c r="L470" i="103" s="1"/>
  <c r="M470" i="103" s="1"/>
  <c r="C21" i="90"/>
  <c r="E31" i="86"/>
  <c r="F16" i="86"/>
  <c r="M146" i="78"/>
  <c r="M162" i="78" s="1"/>
  <c r="M164" i="78" s="1"/>
  <c r="M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C21" i="86"/>
  <c r="C41" i="86" s="1"/>
  <c r="D41" i="86" s="1"/>
  <c r="E41" i="86" s="1"/>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G36" i="86"/>
  <c r="H56" i="86"/>
  <c r="C56" i="86"/>
  <c r="K68" i="74"/>
  <c r="C67" i="74"/>
  <c r="D11" i="86"/>
  <c r="C36" i="86"/>
  <c r="H36" i="86"/>
  <c r="D36" i="86"/>
  <c r="G12" i="86"/>
  <c r="C31" i="74"/>
  <c r="C738" i="103"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M67" i="85"/>
  <c r="E13" i="72"/>
  <c r="P268" i="72"/>
  <c r="M496" i="103" l="1"/>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J69" i="74"/>
  <c r="R117" i="74"/>
  <c r="S117" i="74" s="1"/>
  <c r="F100" i="74"/>
  <c r="G69" i="74"/>
  <c r="H56" i="73"/>
  <c r="K129" i="72"/>
  <c r="I129"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J108" i="78"/>
  <c r="L23" i="75"/>
  <c r="M23" i="75" s="1"/>
  <c r="L21" i="75"/>
  <c r="M21" i="75" s="1"/>
  <c r="L147" i="75"/>
  <c r="E35" i="74"/>
  <c r="D35" i="74"/>
  <c r="E41" i="78"/>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J164" i="78"/>
  <c r="J166" i="78" s="1"/>
  <c r="P139" i="75"/>
  <c r="P114" i="75"/>
  <c r="AD109" i="78" l="1"/>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149" i="75"/>
  <c r="P147" i="75"/>
  <c r="P150" i="75"/>
  <c r="F14" i="74"/>
  <c r="E24" i="74"/>
  <c r="E731" i="103" s="1"/>
  <c r="P153" i="75"/>
  <c r="P100" i="75"/>
  <c r="F21" i="86"/>
  <c r="E22" i="86"/>
  <c r="H7" i="100" l="1"/>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H626" i="103" s="1"/>
  <c r="P626" i="103" s="1"/>
  <c r="L67" i="75"/>
  <c r="O67" i="75"/>
  <c r="M67" i="75"/>
  <c r="N67" i="75"/>
  <c r="P65" i="75"/>
  <c r="E13" i="84"/>
  <c r="G14" i="74"/>
  <c r="F24" i="74"/>
  <c r="F731" i="103" s="1"/>
  <c r="K168" i="75"/>
  <c r="P168" i="75" s="1"/>
  <c r="P166" i="75"/>
  <c r="G21" i="86"/>
  <c r="F22" i="86"/>
  <c r="B722" i="103" l="1"/>
  <c r="P280" i="103"/>
  <c r="K175" i="75"/>
  <c r="M280" i="103"/>
  <c r="M281" i="103" s="1"/>
  <c r="M283" i="103" s="1"/>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H21" i="86"/>
  <c r="G22" i="86"/>
  <c r="F722" i="103" l="1"/>
  <c r="G722" i="103"/>
  <c r="E722" i="103"/>
  <c r="D722" i="103"/>
  <c r="C722" i="103"/>
  <c r="Q243" i="75"/>
  <c r="I109" i="78"/>
  <c r="E222" i="103"/>
  <c r="I222" i="103" s="1"/>
  <c r="AD226" i="103"/>
  <c r="AD228" i="103" s="1"/>
  <c r="AB228" i="103"/>
  <c r="AD106" i="78"/>
  <c r="H1322" i="103"/>
  <c r="J1448" i="103"/>
  <c r="H171" i="102"/>
  <c r="AB219" i="103"/>
  <c r="J297" i="102"/>
  <c r="AC238" i="103"/>
  <c r="L1035" i="103"/>
  <c r="L1036" i="103" s="1"/>
  <c r="L1037" i="103"/>
  <c r="AC239" i="103"/>
  <c r="AC236" i="103"/>
  <c r="AC235" i="103"/>
  <c r="E200"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K235" i="75"/>
  <c r="E87" i="78"/>
  <c r="K237" i="75"/>
  <c r="J391" i="72"/>
  <c r="L391" i="72" s="1"/>
  <c r="AE122" i="78"/>
  <c r="K236" i="75"/>
  <c r="AE127" i="78"/>
  <c r="O197" i="73"/>
  <c r="O385" i="72"/>
  <c r="O386" i="72" s="1"/>
  <c r="AE124" i="78"/>
  <c r="H226" i="72"/>
  <c r="F133" i="78"/>
  <c r="F246" i="103" s="1"/>
  <c r="C13" i="84"/>
  <c r="AE123" i="78"/>
  <c r="D35" i="90"/>
  <c r="I64" i="92" s="1"/>
  <c r="AE126" i="78"/>
  <c r="J170" i="78"/>
  <c r="G15" i="82"/>
  <c r="G19" i="82" s="1"/>
  <c r="G20" i="82" s="1"/>
  <c r="H24" i="74"/>
  <c r="H731" i="103" s="1"/>
  <c r="I14" i="74"/>
  <c r="H16" i="74"/>
  <c r="H723" i="103" s="1"/>
  <c r="H15" i="74"/>
  <c r="I21" i="86"/>
  <c r="I22" i="86" s="1"/>
  <c r="H22" i="86"/>
  <c r="H722" i="103" l="1"/>
  <c r="B22" i="74"/>
  <c r="K8" i="74" s="1"/>
  <c r="K715" i="103" s="1"/>
  <c r="H53" i="82"/>
  <c r="H738" i="103"/>
  <c r="AD238" i="103"/>
  <c r="AF238" i="103" s="1"/>
  <c r="D17" i="83"/>
  <c r="F53" i="89"/>
  <c r="F16" i="85"/>
  <c r="A9" i="83"/>
  <c r="J1449" i="103"/>
  <c r="M1449" i="103"/>
  <c r="AD235" i="103"/>
  <c r="AF235" i="103" s="1"/>
  <c r="J298" i="102"/>
  <c r="J300" i="102" s="1"/>
  <c r="J1451" i="103" s="1"/>
  <c r="M298" i="102"/>
  <c r="M300" i="102" s="1"/>
  <c r="M1451" i="103" s="1"/>
  <c r="C54" i="100"/>
  <c r="C56"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K13" i="84"/>
  <c r="M366" i="72"/>
  <c r="M367" i="72" s="1"/>
  <c r="I56" i="84"/>
  <c r="C17" i="74"/>
  <c r="C724" i="103" s="1"/>
  <c r="C54" i="84"/>
  <c r="C56" i="84" s="1"/>
  <c r="K6" i="74"/>
  <c r="K713" i="103" s="1"/>
  <c r="L4" i="95"/>
  <c r="J4" i="91"/>
  <c r="D17" i="74"/>
  <c r="K53" i="84"/>
  <c r="K54" i="84" s="1"/>
  <c r="K56" i="84" s="1"/>
  <c r="G53" i="84"/>
  <c r="G54" i="84" s="1"/>
  <c r="E17" i="74"/>
  <c r="E724" i="103" s="1"/>
  <c r="E53" i="84"/>
  <c r="E54" i="84" s="1"/>
  <c r="E56" i="84" s="1"/>
  <c r="F17" i="74"/>
  <c r="F724" i="103" s="1"/>
  <c r="P97" i="72"/>
  <c r="K87" i="75"/>
  <c r="P75" i="75"/>
  <c r="AF125" i="78"/>
  <c r="AH125" i="78" s="1"/>
  <c r="AF122" i="78"/>
  <c r="H17" i="74"/>
  <c r="H724" i="103" s="1"/>
  <c r="I24" i="74"/>
  <c r="I731" i="103" s="1"/>
  <c r="J14" i="74"/>
  <c r="I16" i="74"/>
  <c r="I723" i="103" s="1"/>
  <c r="I15" i="74"/>
  <c r="D724" i="103" l="1"/>
  <c r="D22" i="74"/>
  <c r="D729" i="103" s="1"/>
  <c r="Q220" i="75"/>
  <c r="Q667" i="103"/>
  <c r="B729" i="103"/>
  <c r="F22" i="74"/>
  <c r="F729" i="103" s="1"/>
  <c r="H22" i="74"/>
  <c r="H729" i="103" s="1"/>
  <c r="C22" i="74"/>
  <c r="C729" i="103" s="1"/>
  <c r="I722" i="103"/>
  <c r="G22" i="74"/>
  <c r="G729" i="103" s="1"/>
  <c r="E22" i="74"/>
  <c r="E729" i="103" s="1"/>
  <c r="J31" i="74"/>
  <c r="J738" i="103" s="1"/>
  <c r="I53" i="82"/>
  <c r="G20" i="74"/>
  <c r="G727" i="103" s="1"/>
  <c r="B727" i="103"/>
  <c r="E56" i="100"/>
  <c r="K56" i="100"/>
  <c r="I56" i="100"/>
  <c r="G56" i="100"/>
  <c r="AH122" i="78"/>
  <c r="E127" i="78" s="1"/>
  <c r="P89" i="72"/>
  <c r="O89" i="72"/>
  <c r="C20" i="74"/>
  <c r="E20" i="74"/>
  <c r="E727" i="103" s="1"/>
  <c r="D20" i="74"/>
  <c r="D727" i="103" s="1"/>
  <c r="G56" i="84"/>
  <c r="F20" i="74"/>
  <c r="F727" i="103" s="1"/>
  <c r="K31" i="74"/>
  <c r="K738" i="103" s="1"/>
  <c r="J53" i="82"/>
  <c r="K14" i="74"/>
  <c r="J24" i="74"/>
  <c r="J731" i="103" s="1"/>
  <c r="J15" i="74"/>
  <c r="J16" i="74"/>
  <c r="J723" i="103" s="1"/>
  <c r="I17" i="74"/>
  <c r="I724" i="103" s="1"/>
  <c r="H20" i="74"/>
  <c r="H727" i="103" s="1"/>
  <c r="O669" i="103" l="1"/>
  <c r="O668" i="103"/>
  <c r="C68" i="84"/>
  <c r="O222" i="75"/>
  <c r="O221" i="75"/>
  <c r="I22" i="74"/>
  <c r="I729" i="103" s="1"/>
  <c r="J722" i="103"/>
  <c r="C727" i="103"/>
  <c r="E240" i="103"/>
  <c r="P91" i="72"/>
  <c r="O442" i="72"/>
  <c r="Y37" i="72"/>
  <c r="X37" i="72"/>
  <c r="AD37" i="72"/>
  <c r="AE37" i="72"/>
  <c r="I20" i="74"/>
  <c r="I727" i="103" s="1"/>
  <c r="K24" i="74"/>
  <c r="K731" i="103" s="1"/>
  <c r="B46" i="74"/>
  <c r="K15" i="74"/>
  <c r="K16" i="74"/>
  <c r="K723" i="103" s="1"/>
  <c r="B63" i="74"/>
  <c r="B770" i="103" s="1"/>
  <c r="K53" i="82"/>
  <c r="J17" i="74"/>
  <c r="J724" i="103" s="1"/>
  <c r="J22" i="74" l="1"/>
  <c r="J729" i="103" s="1"/>
  <c r="K722" i="103"/>
  <c r="K68" i="84"/>
  <c r="E68" i="84"/>
  <c r="I68" i="84"/>
  <c r="G68" i="84"/>
  <c r="J20" i="74"/>
  <c r="J727" i="103" s="1"/>
  <c r="K17" i="74"/>
  <c r="K724" i="103" s="1"/>
  <c r="C46" i="74"/>
  <c r="B56" i="74"/>
  <c r="B48" i="74"/>
  <c r="B755" i="103" s="1"/>
  <c r="B47" i="74"/>
  <c r="C63" i="74"/>
  <c r="C770" i="103" s="1"/>
  <c r="B73" i="82"/>
  <c r="B754" i="103" l="1"/>
  <c r="K22" i="74"/>
  <c r="K729" i="103" s="1"/>
  <c r="C73" i="82"/>
  <c r="D63" i="74"/>
  <c r="D770" i="103" s="1"/>
  <c r="C48" i="74"/>
  <c r="C755" i="103" s="1"/>
  <c r="C56" i="74"/>
  <c r="D46" i="74"/>
  <c r="C47" i="74"/>
  <c r="B49" i="74"/>
  <c r="B756" i="103" s="1"/>
  <c r="K20" i="74"/>
  <c r="K727" i="103" s="1"/>
  <c r="C754" i="103" l="1"/>
  <c r="B54" i="74"/>
  <c r="B761" i="103" s="1"/>
  <c r="E46" i="74"/>
  <c r="D56" i="74"/>
  <c r="D48" i="74"/>
  <c r="D755" i="103" s="1"/>
  <c r="D47" i="74"/>
  <c r="E63" i="74"/>
  <c r="E770" i="103" s="1"/>
  <c r="D73" i="82"/>
  <c r="B52" i="74"/>
  <c r="B759" i="103" s="1"/>
  <c r="C49" i="74"/>
  <c r="C756" i="103" s="1"/>
  <c r="C54" i="74" l="1"/>
  <c r="C761" i="103" s="1"/>
  <c r="D754" i="103"/>
  <c r="C52" i="74"/>
  <c r="C759" i="103" s="1"/>
  <c r="E73" i="82"/>
  <c r="F63" i="74"/>
  <c r="F770" i="103" s="1"/>
  <c r="D49" i="74"/>
  <c r="D756" i="103" s="1"/>
  <c r="E47" i="74"/>
  <c r="E56" i="74"/>
  <c r="F46" i="74"/>
  <c r="E48" i="74"/>
  <c r="E755" i="103" s="1"/>
  <c r="D54" i="74" l="1"/>
  <c r="D761" i="103" s="1"/>
  <c r="E754" i="103"/>
  <c r="D52" i="74"/>
  <c r="D759" i="103" s="1"/>
  <c r="F56" i="74"/>
  <c r="F48" i="74"/>
  <c r="F755" i="103" s="1"/>
  <c r="F47" i="74"/>
  <c r="G46" i="74"/>
  <c r="E49" i="74"/>
  <c r="E756" i="103" s="1"/>
  <c r="F73" i="82"/>
  <c r="G63" i="74"/>
  <c r="G770" i="103" s="1"/>
  <c r="F754" i="103" l="1"/>
  <c r="E54" i="74"/>
  <c r="E761" i="103" s="1"/>
  <c r="E52" i="74"/>
  <c r="E759" i="103" s="1"/>
  <c r="F49" i="74"/>
  <c r="F756" i="103" s="1"/>
  <c r="H63" i="74"/>
  <c r="H770" i="103" s="1"/>
  <c r="G73" i="82"/>
  <c r="G56" i="74"/>
  <c r="G48" i="74"/>
  <c r="G755" i="103" s="1"/>
  <c r="H46" i="74"/>
  <c r="G47" i="74"/>
  <c r="G754" i="103" l="1"/>
  <c r="F54" i="74"/>
  <c r="F761" i="103" s="1"/>
  <c r="H73" i="82"/>
  <c r="I63" i="74"/>
  <c r="I770" i="103" s="1"/>
  <c r="H56" i="74"/>
  <c r="H47" i="74"/>
  <c r="H48" i="74"/>
  <c r="H755" i="103" s="1"/>
  <c r="I46" i="74"/>
  <c r="F52" i="74"/>
  <c r="F759" i="103" s="1"/>
  <c r="G49" i="74"/>
  <c r="G756" i="103" s="1"/>
  <c r="H754" i="103" l="1"/>
  <c r="H54" i="74"/>
  <c r="H761" i="103" s="1"/>
  <c r="G54" i="74"/>
  <c r="G761" i="103" s="1"/>
  <c r="J46" i="74"/>
  <c r="I56" i="74"/>
  <c r="I47" i="74"/>
  <c r="I48" i="74"/>
  <c r="I755" i="103" s="1"/>
  <c r="G52" i="74"/>
  <c r="G759" i="103" s="1"/>
  <c r="H49" i="74"/>
  <c r="H756" i="103" s="1"/>
  <c r="J63" i="74"/>
  <c r="J770" i="103" s="1"/>
  <c r="I73" i="82"/>
  <c r="I754" i="103" l="1"/>
  <c r="J48" i="74"/>
  <c r="J755" i="103" s="1"/>
  <c r="K46" i="74"/>
  <c r="J56" i="74"/>
  <c r="J47" i="74"/>
  <c r="I49" i="74"/>
  <c r="I756" i="103" s="1"/>
  <c r="J73" i="82"/>
  <c r="K63" i="74"/>
  <c r="K770" i="103" s="1"/>
  <c r="H52" i="74"/>
  <c r="H759" i="103" s="1"/>
  <c r="J754" i="103" l="1"/>
  <c r="I54" i="74"/>
  <c r="I761" i="103" s="1"/>
  <c r="I52" i="74"/>
  <c r="I759" i="103" s="1"/>
  <c r="J49" i="74"/>
  <c r="J756" i="103" s="1"/>
  <c r="K73" i="82"/>
  <c r="B95" i="74"/>
  <c r="B802" i="103" s="1"/>
  <c r="B78" i="74"/>
  <c r="K56" i="74"/>
  <c r="K47" i="74"/>
  <c r="K48" i="74"/>
  <c r="K755" i="103" s="1"/>
  <c r="J54" i="74" l="1"/>
  <c r="J761" i="103" s="1"/>
  <c r="K754" i="103"/>
  <c r="J52" i="74"/>
  <c r="J759" i="103" s="1"/>
  <c r="B88" i="74"/>
  <c r="B79" i="74"/>
  <c r="B80" i="74"/>
  <c r="B787" i="103" s="1"/>
  <c r="C78" i="74"/>
  <c r="K49" i="74"/>
  <c r="K756" i="103" s="1"/>
  <c r="C95" i="74"/>
  <c r="C802" i="103" s="1"/>
  <c r="B786" i="103" l="1"/>
  <c r="K54" i="74"/>
  <c r="K761" i="103" s="1"/>
  <c r="K52" i="74"/>
  <c r="K759" i="103" s="1"/>
  <c r="B81" i="74"/>
  <c r="B788" i="103" s="1"/>
  <c r="D95" i="74"/>
  <c r="D802" i="103" s="1"/>
  <c r="C79" i="74"/>
  <c r="D78" i="74"/>
  <c r="C88" i="74"/>
  <c r="C80" i="74"/>
  <c r="C787" i="103" s="1"/>
  <c r="C786" i="103" l="1"/>
  <c r="B86" i="74"/>
  <c r="B793" i="103" s="1"/>
  <c r="E78" i="74"/>
  <c r="D79" i="74"/>
  <c r="D80" i="74"/>
  <c r="D787" i="103" s="1"/>
  <c r="D88" i="74"/>
  <c r="C81" i="74"/>
  <c r="C788" i="103" s="1"/>
  <c r="E95" i="74"/>
  <c r="E802" i="103" s="1"/>
  <c r="B84" i="74"/>
  <c r="B791" i="103" s="1"/>
  <c r="D786" i="103" l="1"/>
  <c r="C86" i="74"/>
  <c r="C793" i="103" s="1"/>
  <c r="C84" i="74"/>
  <c r="C791" i="103" s="1"/>
  <c r="F95" i="74"/>
  <c r="F802" i="103" s="1"/>
  <c r="D81" i="74"/>
  <c r="D788" i="103" s="1"/>
  <c r="F78" i="74"/>
  <c r="E88" i="74"/>
  <c r="E79" i="74"/>
  <c r="E80" i="74"/>
  <c r="E787" i="103" s="1"/>
  <c r="D86" i="74" l="1"/>
  <c r="D793" i="103" s="1"/>
  <c r="E786" i="103"/>
  <c r="D84" i="74"/>
  <c r="D791" i="103" s="1"/>
  <c r="E81" i="74"/>
  <c r="E788" i="103" s="1"/>
  <c r="F88" i="74"/>
  <c r="G78" i="74"/>
  <c r="F80" i="74"/>
  <c r="F787" i="103" s="1"/>
  <c r="F79" i="74"/>
  <c r="G95" i="74"/>
  <c r="G802" i="103" s="1"/>
  <c r="E86" i="74" l="1"/>
  <c r="E793" i="103" s="1"/>
  <c r="F786" i="103"/>
  <c r="E84" i="74"/>
  <c r="E791" i="103" s="1"/>
  <c r="G79" i="74"/>
  <c r="G88" i="74"/>
  <c r="G80" i="74"/>
  <c r="G787" i="103" s="1"/>
  <c r="H78" i="74"/>
  <c r="H95" i="74"/>
  <c r="H802" i="103" s="1"/>
  <c r="F81" i="74"/>
  <c r="F788" i="103" s="1"/>
  <c r="F86" i="74" l="1"/>
  <c r="F793" i="103" s="1"/>
  <c r="G786" i="103"/>
  <c r="F84" i="74"/>
  <c r="F791" i="103" s="1"/>
  <c r="H88" i="74"/>
  <c r="H80" i="74"/>
  <c r="H787" i="103" s="1"/>
  <c r="H79" i="74"/>
  <c r="I78" i="74"/>
  <c r="G81" i="74"/>
  <c r="G788" i="103" s="1"/>
  <c r="I95" i="74"/>
  <c r="I802" i="103" s="1"/>
  <c r="H786" i="103" l="1"/>
  <c r="H86" i="74"/>
  <c r="H793" i="103" s="1"/>
  <c r="G86" i="74"/>
  <c r="G793" i="103" s="1"/>
  <c r="G84" i="74"/>
  <c r="G791" i="103" s="1"/>
  <c r="I88" i="74"/>
  <c r="I79" i="74"/>
  <c r="J78" i="74"/>
  <c r="I80" i="74"/>
  <c r="I787" i="103" s="1"/>
  <c r="H81" i="74"/>
  <c r="H788" i="103" s="1"/>
  <c r="J95" i="74"/>
  <c r="J802" i="103" s="1"/>
  <c r="I786" i="103" l="1"/>
  <c r="J80" i="74"/>
  <c r="J787" i="103" s="1"/>
  <c r="K78" i="74"/>
  <c r="J79" i="74"/>
  <c r="J88" i="74"/>
  <c r="I81" i="74"/>
  <c r="I788" i="103" s="1"/>
  <c r="K95" i="74"/>
  <c r="K802" i="103" s="1"/>
  <c r="H84" i="74"/>
  <c r="H791" i="103" s="1"/>
  <c r="I86" i="74" l="1"/>
  <c r="I793" i="103" s="1"/>
  <c r="J786" i="103"/>
  <c r="J81" i="74"/>
  <c r="J788" i="103" s="1"/>
  <c r="B125" i="74"/>
  <c r="B832" i="103" s="1"/>
  <c r="K80" i="74"/>
  <c r="K787" i="103" s="1"/>
  <c r="B108" i="74"/>
  <c r="K88" i="74"/>
  <c r="K79" i="74"/>
  <c r="I84" i="74"/>
  <c r="I791" i="103" s="1"/>
  <c r="J86" i="74" l="1"/>
  <c r="J793" i="103" s="1"/>
  <c r="K786" i="103"/>
  <c r="J84" i="74"/>
  <c r="J791" i="103" s="1"/>
  <c r="K81" i="74"/>
  <c r="K788" i="103" s="1"/>
  <c r="C125" i="74"/>
  <c r="C832" i="103" s="1"/>
  <c r="B109" i="74"/>
  <c r="C108" i="74"/>
  <c r="B110" i="74"/>
  <c r="B817" i="103" s="1"/>
  <c r="B118" i="74"/>
  <c r="K86" i="74" l="1"/>
  <c r="K793" i="103" s="1"/>
  <c r="B816" i="103"/>
  <c r="K84" i="74"/>
  <c r="K791" i="103" s="1"/>
  <c r="D108" i="74"/>
  <c r="C109" i="74"/>
  <c r="C118" i="74"/>
  <c r="C110" i="74"/>
  <c r="C817" i="103" s="1"/>
  <c r="D125" i="74"/>
  <c r="D832" i="103" s="1"/>
  <c r="B111" i="74"/>
  <c r="B818" i="103" s="1"/>
  <c r="C816" i="103" l="1"/>
  <c r="B116" i="74"/>
  <c r="B823" i="103" s="1"/>
  <c r="B114" i="74"/>
  <c r="B821" i="103" s="1"/>
  <c r="C111" i="74"/>
  <c r="C818" i="103" s="1"/>
  <c r="E125" i="74"/>
  <c r="E832" i="103" s="1"/>
  <c r="D118" i="74"/>
  <c r="D109" i="74"/>
  <c r="E108" i="74"/>
  <c r="D110" i="74"/>
  <c r="D817" i="103" s="1"/>
  <c r="D816" i="103" l="1"/>
  <c r="C116" i="74"/>
  <c r="C823" i="103" s="1"/>
  <c r="C114" i="74"/>
  <c r="C821" i="103" s="1"/>
  <c r="F125" i="74"/>
  <c r="F832" i="103" s="1"/>
  <c r="F108" i="74"/>
  <c r="E109" i="74"/>
  <c r="E118" i="74"/>
  <c r="E110" i="74"/>
  <c r="E817" i="103" s="1"/>
  <c r="D111" i="74"/>
  <c r="D818" i="103" s="1"/>
  <c r="D116" i="74" l="1"/>
  <c r="D823" i="103" s="1"/>
  <c r="E816" i="103"/>
  <c r="E111" i="74"/>
  <c r="E818" i="103" s="1"/>
  <c r="F118" i="74"/>
  <c r="F110" i="74"/>
  <c r="F817" i="103" s="1"/>
  <c r="F109" i="74"/>
  <c r="D114" i="74"/>
  <c r="D821" i="103" s="1"/>
  <c r="E116" i="74" l="1"/>
  <c r="E823" i="103" s="1"/>
  <c r="F816" i="103"/>
  <c r="E114" i="74"/>
  <c r="E821" i="103" s="1"/>
  <c r="F111" i="74"/>
  <c r="F818" i="103" s="1"/>
  <c r="F116" i="74" l="1"/>
  <c r="F823" i="103" s="1"/>
  <c r="F114" i="74"/>
  <c r="F821" i="103" s="1"/>
  <c r="E15" i="72" l="1"/>
  <c r="E20" i="72" l="1"/>
  <c r="E21" i="72" l="1"/>
  <c r="E16" i="72" l="1"/>
  <c r="P233" i="72"/>
  <c r="P442" i="72" s="1"/>
  <c r="O6" i="72" l="1"/>
  <c r="L233" i="72"/>
  <c r="L191" i="72"/>
  <c r="AE45" i="72"/>
  <c r="AE63" i="72" s="1"/>
  <c r="AD45" i="72"/>
  <c r="AD63" i="72" s="1"/>
  <c r="Y45" i="72"/>
  <c r="Y63" i="72" s="1"/>
  <c r="X45" i="72"/>
  <c r="X63" i="72" s="1"/>
  <c r="P6" i="72"/>
  <c r="E19" i="72"/>
  <c r="K83" i="103" l="1"/>
  <c r="G135" i="103" l="1"/>
  <c r="S135" i="103"/>
  <c r="L72" i="103" l="1"/>
  <c r="I94" i="103" l="1"/>
  <c r="N94" i="103" s="1"/>
  <c r="L67" i="85"/>
  <c r="N51" i="68"/>
  <c r="M189" i="78" l="1"/>
  <c r="L691" i="103" l="1"/>
  <c r="L694" i="103" s="1"/>
  <c r="Q675" i="103" s="1"/>
  <c r="C61" i="100"/>
  <c r="L247" i="75"/>
  <c r="C61" i="84" l="1"/>
  <c r="Q228" i="75"/>
  <c r="E61" i="100"/>
  <c r="E62" i="100" s="1"/>
  <c r="E64" i="100" s="1"/>
  <c r="E70" i="100" s="1"/>
  <c r="K61" i="100"/>
  <c r="K62" i="100" s="1"/>
  <c r="K64" i="100" s="1"/>
  <c r="K70" i="100" s="1"/>
  <c r="G61" i="100"/>
  <c r="G62" i="100" s="1"/>
  <c r="G64" i="100" s="1"/>
  <c r="G70" i="100" s="1"/>
  <c r="I61" i="100"/>
  <c r="I62" i="100" s="1"/>
  <c r="I64" i="100" s="1"/>
  <c r="I70" i="100" s="1"/>
  <c r="C62" i="100"/>
  <c r="C64" i="100" s="1"/>
  <c r="C70" i="100" s="1"/>
  <c r="P676" i="103"/>
  <c r="N675" i="103"/>
  <c r="B21" i="74" l="1"/>
  <c r="F130" i="78"/>
  <c r="F243" i="103" s="1"/>
  <c r="P229" i="75"/>
  <c r="N228" i="75"/>
  <c r="G61" i="84"/>
  <c r="G62" i="84" s="1"/>
  <c r="G64" i="84" s="1"/>
  <c r="I61" i="84"/>
  <c r="I62" i="84" s="1"/>
  <c r="I64" i="84" s="1"/>
  <c r="K61" i="84"/>
  <c r="K62" i="84" s="1"/>
  <c r="K64" i="84" s="1"/>
  <c r="E61" i="84"/>
  <c r="E62" i="84" s="1"/>
  <c r="E64" i="84" s="1"/>
  <c r="C62" i="84"/>
  <c r="C64" i="84" s="1"/>
  <c r="B728" i="103" l="1"/>
  <c r="D21" i="74"/>
  <c r="D728" i="103" s="1"/>
  <c r="E21" i="74"/>
  <c r="E728" i="103" s="1"/>
  <c r="F21" i="74"/>
  <c r="F728" i="103" s="1"/>
  <c r="C21" i="74"/>
  <c r="C728" i="103" s="1"/>
  <c r="G21" i="74"/>
  <c r="G728" i="103" s="1"/>
  <c r="H21" i="74"/>
  <c r="H728" i="103" s="1"/>
  <c r="I21" i="74"/>
  <c r="I728" i="103" s="1"/>
  <c r="J21" i="74"/>
  <c r="J728" i="103" s="1"/>
  <c r="K21" i="74"/>
  <c r="K728" i="103" s="1"/>
  <c r="B53" i="74"/>
  <c r="B760" i="103" s="1"/>
  <c r="C53" i="74"/>
  <c r="C760" i="103" s="1"/>
  <c r="D53" i="74"/>
  <c r="D760" i="103" s="1"/>
  <c r="E53" i="74"/>
  <c r="E760" i="103" s="1"/>
  <c r="F53" i="74"/>
  <c r="F760" i="103" s="1"/>
  <c r="G53" i="74"/>
  <c r="G760" i="103" s="1"/>
  <c r="H53" i="74"/>
  <c r="H760" i="103" s="1"/>
  <c r="I53" i="74"/>
  <c r="I760" i="103" s="1"/>
  <c r="J53" i="74"/>
  <c r="J760" i="103" s="1"/>
  <c r="K53" i="74"/>
  <c r="K760" i="103" s="1"/>
  <c r="B85" i="74"/>
  <c r="B792" i="103" s="1"/>
  <c r="C85" i="74"/>
  <c r="C792" i="103" s="1"/>
  <c r="D85" i="74"/>
  <c r="D792" i="103" s="1"/>
  <c r="E85" i="74"/>
  <c r="E792" i="103" s="1"/>
  <c r="F85" i="74"/>
  <c r="F792" i="103" s="1"/>
  <c r="G85" i="74"/>
  <c r="G792" i="103" s="1"/>
  <c r="H85" i="74"/>
  <c r="H792" i="103" s="1"/>
  <c r="I85" i="74"/>
  <c r="I792" i="103" s="1"/>
  <c r="J85" i="74"/>
  <c r="J792" i="103" s="1"/>
  <c r="K85" i="74"/>
  <c r="K792" i="103" s="1"/>
  <c r="B115" i="74"/>
  <c r="B822" i="103" s="1"/>
  <c r="C115" i="74"/>
  <c r="C822" i="103" s="1"/>
  <c r="D115" i="74"/>
  <c r="D822" i="103" s="1"/>
  <c r="E115" i="74"/>
  <c r="E822" i="103" s="1"/>
  <c r="F115" i="74"/>
  <c r="F822" i="103" s="1"/>
  <c r="C14" i="86" l="1"/>
  <c r="B739" i="103"/>
  <c r="R21" i="74"/>
  <c r="F31" i="89" l="1"/>
  <c r="D63" i="90" s="1"/>
  <c r="L65" i="103"/>
  <c r="D56" i="92" l="1"/>
  <c r="F84" i="92"/>
  <c r="G176" i="103" l="1"/>
  <c r="P40" i="78" l="1"/>
  <c r="P153" i="103" s="1"/>
  <c r="G153" i="103"/>
  <c r="F40" i="78"/>
  <c r="G41" i="78" l="1"/>
  <c r="P38" i="78"/>
  <c r="G151" i="103"/>
  <c r="G37" i="78"/>
  <c r="F38" i="78"/>
  <c r="P39" i="78"/>
  <c r="P152" i="103" s="1"/>
  <c r="G152" i="103"/>
  <c r="F39" i="78"/>
  <c r="F37" i="78" l="1"/>
  <c r="G154" i="103"/>
  <c r="G150" i="103"/>
  <c r="P151" i="103"/>
  <c r="P154" i="103" s="1"/>
  <c r="P41" i="78"/>
  <c r="G43" i="78"/>
  <c r="C49" i="78"/>
  <c r="J49" i="78" l="1"/>
  <c r="J48" i="78"/>
  <c r="F49" i="78"/>
  <c r="F48" i="78"/>
  <c r="H18" i="84"/>
  <c r="P48" i="78"/>
  <c r="E55" i="78"/>
  <c r="H18" i="100"/>
  <c r="E168" i="103"/>
  <c r="G156" i="103"/>
  <c r="C162" i="103"/>
  <c r="P183" i="103"/>
  <c r="G183" i="103"/>
  <c r="P181" i="103"/>
  <c r="G181" i="103"/>
  <c r="H19" i="100" l="1"/>
  <c r="H20" i="100"/>
  <c r="H20" i="84"/>
  <c r="H19" i="84"/>
  <c r="F161" i="103"/>
  <c r="P161" i="103"/>
  <c r="J162" i="103"/>
  <c r="F162" i="103"/>
  <c r="J161" i="103"/>
  <c r="F55" i="78" l="1"/>
  <c r="G54" i="78"/>
  <c r="G168" i="103"/>
  <c r="P55" i="78"/>
  <c r="P168" i="103" s="1"/>
  <c r="B58" i="78"/>
  <c r="F57" i="78" l="1"/>
  <c r="F58" i="78"/>
  <c r="J58" i="78"/>
  <c r="J57" i="78"/>
  <c r="P57" i="78"/>
  <c r="G167" i="103"/>
  <c r="F168" i="103"/>
  <c r="B171" i="103"/>
  <c r="F171" i="103" l="1"/>
  <c r="J170" i="103"/>
  <c r="F170" i="103"/>
  <c r="J171" i="103"/>
  <c r="P170" i="103"/>
  <c r="G136" i="103" l="1"/>
  <c r="S136" i="103"/>
  <c r="G182" i="103" l="1"/>
  <c r="P182" i="103"/>
  <c r="F20" i="78"/>
  <c r="G133" i="103"/>
  <c r="G24" i="78"/>
  <c r="F133" i="103" l="1"/>
  <c r="G137" i="103"/>
  <c r="S133" i="103"/>
  <c r="S137" i="103" s="1"/>
  <c r="S24" i="78"/>
  <c r="I83" i="103" l="1"/>
  <c r="C25" i="100"/>
  <c r="P40" i="68"/>
  <c r="C25" i="84"/>
  <c r="C29" i="84" s="1"/>
  <c r="B24" i="82"/>
  <c r="K29" i="84" l="1"/>
  <c r="C36" i="84"/>
  <c r="K33" i="84"/>
  <c r="J18" i="84"/>
  <c r="K26" i="84"/>
  <c r="K26" i="74"/>
  <c r="K90" i="74"/>
  <c r="E58" i="74"/>
  <c r="D90" i="74"/>
  <c r="E90" i="74"/>
  <c r="F58" i="74"/>
  <c r="J26" i="74"/>
  <c r="C90" i="74"/>
  <c r="D58" i="74"/>
  <c r="I90" i="74"/>
  <c r="B26" i="74"/>
  <c r="B90" i="74"/>
  <c r="I26" i="74"/>
  <c r="E26" i="74"/>
  <c r="H90" i="74"/>
  <c r="C58" i="74"/>
  <c r="H58" i="74"/>
  <c r="G58" i="74"/>
  <c r="E120" i="74"/>
  <c r="B58" i="74"/>
  <c r="B120" i="74"/>
  <c r="P83" i="103"/>
  <c r="G90" i="74"/>
  <c r="F120" i="74"/>
  <c r="H26" i="74"/>
  <c r="J58" i="74"/>
  <c r="D26" i="74"/>
  <c r="G26" i="74"/>
  <c r="F90" i="74"/>
  <c r="D120" i="74"/>
  <c r="J90" i="74"/>
  <c r="F26" i="74"/>
  <c r="C120" i="74"/>
  <c r="I58" i="74"/>
  <c r="C26" i="74"/>
  <c r="K58" i="74"/>
  <c r="F15" i="85"/>
  <c r="D16" i="83"/>
  <c r="C29" i="100"/>
  <c r="B28" i="87" l="1"/>
  <c r="J765" i="103"/>
  <c r="J65" i="82"/>
  <c r="G765" i="103"/>
  <c r="G65" i="82"/>
  <c r="B25" i="87"/>
  <c r="B37" i="87"/>
  <c r="I797" i="103"/>
  <c r="K797" i="103"/>
  <c r="B39" i="87"/>
  <c r="B10" i="87"/>
  <c r="B733" i="103"/>
  <c r="B45" i="82"/>
  <c r="F131" i="78"/>
  <c r="F244" i="103" s="1"/>
  <c r="C75" i="100"/>
  <c r="C75" i="84"/>
  <c r="B40" i="74"/>
  <c r="C40" i="74" s="1"/>
  <c r="H45" i="82"/>
  <c r="B16" i="87"/>
  <c r="H733" i="103"/>
  <c r="B26" i="87"/>
  <c r="H65" i="82"/>
  <c r="H765" i="103"/>
  <c r="D65" i="82"/>
  <c r="D765" i="103"/>
  <c r="B22" i="87"/>
  <c r="K45" i="82"/>
  <c r="K733" i="103"/>
  <c r="B19" i="87"/>
  <c r="B14" i="87"/>
  <c r="F45" i="82"/>
  <c r="F733" i="103"/>
  <c r="B11" i="87"/>
  <c r="C45" i="82"/>
  <c r="C733" i="103"/>
  <c r="B41" i="87"/>
  <c r="C827" i="103"/>
  <c r="C65" i="82"/>
  <c r="B21" i="87"/>
  <c r="C765" i="103"/>
  <c r="B38" i="87"/>
  <c r="J797" i="103"/>
  <c r="B36" i="87"/>
  <c r="H797" i="103"/>
  <c r="B18" i="87"/>
  <c r="J45" i="82"/>
  <c r="J733" i="103"/>
  <c r="B12" i="87"/>
  <c r="D733" i="103"/>
  <c r="D45" i="82"/>
  <c r="E765" i="103"/>
  <c r="B23" i="87"/>
  <c r="E65" i="82"/>
  <c r="F827" i="103"/>
  <c r="B44" i="87"/>
  <c r="K33" i="100"/>
  <c r="C36" i="100"/>
  <c r="K29" i="100"/>
  <c r="J18" i="100"/>
  <c r="K26" i="100"/>
  <c r="B35" i="87"/>
  <c r="G797" i="103"/>
  <c r="B42" i="87"/>
  <c r="D827" i="103"/>
  <c r="B13" i="87"/>
  <c r="E733" i="103"/>
  <c r="E45" i="82"/>
  <c r="B24" i="87"/>
  <c r="F65" i="82"/>
  <c r="F765" i="103"/>
  <c r="B31" i="87"/>
  <c r="C797" i="103"/>
  <c r="B34" i="87"/>
  <c r="F797" i="103"/>
  <c r="B827" i="103"/>
  <c r="B40" i="87"/>
  <c r="B17" i="87"/>
  <c r="I45" i="82"/>
  <c r="I733" i="103"/>
  <c r="E797" i="103"/>
  <c r="B33" i="87"/>
  <c r="K37" i="84"/>
  <c r="K35" i="84"/>
  <c r="C40" i="84"/>
  <c r="E827" i="103"/>
  <c r="B43" i="87"/>
  <c r="I65" i="82"/>
  <c r="B27" i="87"/>
  <c r="I765" i="103"/>
  <c r="B29" i="87"/>
  <c r="K65" i="82"/>
  <c r="K765" i="103"/>
  <c r="B15" i="87"/>
  <c r="G733" i="103"/>
  <c r="G45" i="82"/>
  <c r="B765" i="103"/>
  <c r="B65" i="82"/>
  <c r="B20" i="87"/>
  <c r="B30" i="87"/>
  <c r="B797" i="103"/>
  <c r="B32" i="87"/>
  <c r="D797" i="103"/>
  <c r="C747" i="103" l="1"/>
  <c r="D40" i="74"/>
  <c r="E40" i="74" s="1"/>
  <c r="F40" i="74" s="1"/>
  <c r="F747" i="103" s="1"/>
  <c r="I75" i="100"/>
  <c r="K75" i="100"/>
  <c r="C77" i="100"/>
  <c r="C76" i="100"/>
  <c r="C73" i="100" s="1"/>
  <c r="C72" i="100"/>
  <c r="G75" i="100"/>
  <c r="E75" i="100"/>
  <c r="K35" i="100"/>
  <c r="C40" i="100"/>
  <c r="K37" i="100"/>
  <c r="B747" i="103"/>
  <c r="D10" i="86"/>
  <c r="C10" i="86"/>
  <c r="I75" i="84"/>
  <c r="E75" i="84"/>
  <c r="C77" i="84"/>
  <c r="G75" i="84"/>
  <c r="K75" i="84"/>
  <c r="E10" i="86" l="1"/>
  <c r="F10" i="86"/>
  <c r="D747" i="103"/>
  <c r="G10" i="86"/>
  <c r="E747" i="103"/>
  <c r="G40" i="74"/>
  <c r="G747" i="103" s="1"/>
  <c r="C80" i="100"/>
  <c r="C81" i="100"/>
  <c r="G77" i="84"/>
  <c r="K76" i="100"/>
  <c r="K73" i="100" s="1"/>
  <c r="K77" i="100"/>
  <c r="K72" i="100"/>
  <c r="I76" i="100"/>
  <c r="I73" i="100" s="1"/>
  <c r="I72" i="100"/>
  <c r="I77" i="100"/>
  <c r="I77" i="84"/>
  <c r="K77" i="84"/>
  <c r="C80" i="84"/>
  <c r="C81" i="84"/>
  <c r="E76" i="100"/>
  <c r="E73" i="100" s="1"/>
  <c r="E72" i="100"/>
  <c r="E77" i="100"/>
  <c r="E77" i="84"/>
  <c r="G77" i="100"/>
  <c r="G72" i="100"/>
  <c r="G76" i="100"/>
  <c r="G73" i="100" s="1"/>
  <c r="H10" i="86" l="1"/>
  <c r="H40" i="74"/>
  <c r="I10" i="86" s="1"/>
  <c r="I40" i="74" l="1"/>
  <c r="J40" i="74" s="1"/>
  <c r="D30" i="86" s="1"/>
  <c r="H747" i="103"/>
  <c r="C30" i="86" l="1"/>
  <c r="I747" i="103"/>
  <c r="J747" i="103"/>
  <c r="K40" i="74"/>
  <c r="E30" i="86" s="1"/>
  <c r="K747" i="103" l="1"/>
  <c r="B72" i="74"/>
  <c r="F30" i="86" s="1"/>
  <c r="B779" i="103" l="1"/>
  <c r="C72" i="74"/>
  <c r="C779" i="103" l="1"/>
  <c r="D72" i="74"/>
  <c r="G30" i="86"/>
  <c r="D779" i="103" l="1"/>
  <c r="E72" i="74"/>
  <c r="I30" i="86" s="1"/>
  <c r="H30" i="86"/>
  <c r="E779" i="103" l="1"/>
  <c r="F72" i="74"/>
  <c r="F779" i="103" l="1"/>
  <c r="G72" i="74"/>
  <c r="C50" i="86"/>
  <c r="G779" i="103" l="1"/>
  <c r="H72" i="74"/>
  <c r="D50" i="86"/>
  <c r="H779" i="103" l="1"/>
  <c r="I72" i="74"/>
  <c r="E50" i="86"/>
  <c r="I779" i="103" l="1"/>
  <c r="J72" i="74"/>
  <c r="G50" i="86" s="1"/>
  <c r="F50" i="86"/>
  <c r="J779" i="103" l="1"/>
  <c r="K72" i="74"/>
  <c r="K779" i="103" l="1"/>
  <c r="L70" i="85"/>
  <c r="O8" i="86"/>
  <c r="O14" i="86" s="1"/>
  <c r="L100" i="85"/>
  <c r="B103" i="74"/>
  <c r="H50" i="86"/>
  <c r="B810" i="103" l="1"/>
  <c r="C103" i="74"/>
  <c r="C86" i="90"/>
  <c r="F61" i="89"/>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 r="G177" i="103" l="1"/>
  <c r="G186" i="103" s="1"/>
  <c r="G73" i="78"/>
  <c r="P177" i="103" l="1"/>
  <c r="G86" i="78" l="1"/>
  <c r="G188" i="103"/>
  <c r="G199" i="103" s="1"/>
  <c r="P188" i="103" l="1"/>
  <c r="P199" i="103" s="1"/>
  <c r="P86" i="78"/>
  <c r="C34" i="86" l="1"/>
  <c r="I739" i="103"/>
  <c r="D34" i="86" l="1"/>
  <c r="J739" i="103"/>
  <c r="P178" i="103" l="1"/>
  <c r="S176" i="103" l="1"/>
  <c r="S178" i="103"/>
  <c r="S186" i="103" l="1"/>
  <c r="S259" i="103" s="1"/>
  <c r="S73" i="78"/>
  <c r="S146" i="78" s="1"/>
  <c r="N235" i="75" l="1"/>
  <c r="Q247" i="75"/>
  <c r="Q681" i="103"/>
  <c r="B23" i="74"/>
  <c r="Q235" i="75"/>
  <c r="E174" i="90"/>
  <c r="E175" i="90" s="1"/>
  <c r="C66" i="84"/>
  <c r="E66" i="84" l="1"/>
  <c r="E70" i="84" s="1"/>
  <c r="K66" i="84"/>
  <c r="K70" i="84" s="1"/>
  <c r="I66" i="84"/>
  <c r="I70" i="84" s="1"/>
  <c r="G66" i="84"/>
  <c r="G70" i="84" s="1"/>
  <c r="C70" i="84"/>
  <c r="C23" i="74"/>
  <c r="B55" i="74"/>
  <c r="B117" i="74"/>
  <c r="I23" i="74"/>
  <c r="E87" i="74"/>
  <c r="K23" i="74"/>
  <c r="J23" i="74"/>
  <c r="I55" i="74"/>
  <c r="C117" i="74"/>
  <c r="D23" i="74"/>
  <c r="F23" i="74"/>
  <c r="D117" i="74"/>
  <c r="I87" i="74"/>
  <c r="B25" i="74"/>
  <c r="E117" i="74"/>
  <c r="B730" i="103"/>
  <c r="H23" i="74"/>
  <c r="B39" i="74"/>
  <c r="C13" i="86"/>
  <c r="E23" i="74"/>
  <c r="G87" i="74"/>
  <c r="C87" i="74"/>
  <c r="C55" i="74"/>
  <c r="B87" i="74"/>
  <c r="D87" i="74"/>
  <c r="F87" i="74"/>
  <c r="G55" i="74"/>
  <c r="H55" i="74"/>
  <c r="J55" i="74"/>
  <c r="K55" i="74"/>
  <c r="E55" i="74"/>
  <c r="K87" i="74"/>
  <c r="D55" i="74"/>
  <c r="G23" i="74"/>
  <c r="H87" i="74"/>
  <c r="F117" i="74"/>
  <c r="F55" i="74"/>
  <c r="J87" i="74"/>
  <c r="Q694" i="103"/>
  <c r="Q682" i="103"/>
  <c r="N682" i="103"/>
  <c r="G762" i="103" l="1"/>
  <c r="G71" i="74"/>
  <c r="G57" i="74"/>
  <c r="D53" i="86"/>
  <c r="H13" i="86"/>
  <c r="G25" i="74"/>
  <c r="G39" i="74"/>
  <c r="G730" i="103"/>
  <c r="F89" i="74"/>
  <c r="F102" i="74"/>
  <c r="F794" i="103"/>
  <c r="D730" i="103"/>
  <c r="D25" i="74"/>
  <c r="E13" i="86"/>
  <c r="D39" i="74"/>
  <c r="F33" i="86"/>
  <c r="B57" i="74"/>
  <c r="B762" i="103"/>
  <c r="B71" i="74"/>
  <c r="G13" i="86"/>
  <c r="F730" i="103"/>
  <c r="F39" i="74"/>
  <c r="F25" i="74"/>
  <c r="D762" i="103"/>
  <c r="H33" i="86"/>
  <c r="D71" i="74"/>
  <c r="D57" i="74"/>
  <c r="D794" i="103"/>
  <c r="D89" i="74"/>
  <c r="D102" i="74"/>
  <c r="H39" i="74"/>
  <c r="H730" i="103"/>
  <c r="H25" i="74"/>
  <c r="I13" i="86"/>
  <c r="C132" i="74"/>
  <c r="C824" i="103"/>
  <c r="C119" i="74"/>
  <c r="C25" i="74"/>
  <c r="C39" i="74"/>
  <c r="C730" i="103"/>
  <c r="D13" i="86"/>
  <c r="B824" i="103"/>
  <c r="B119" i="74"/>
  <c r="B132" i="74"/>
  <c r="K102" i="74"/>
  <c r="K794" i="103"/>
  <c r="K89" i="74"/>
  <c r="B794" i="103"/>
  <c r="B89" i="74"/>
  <c r="B102" i="74"/>
  <c r="B732" i="103"/>
  <c r="B746" i="103"/>
  <c r="I71" i="74"/>
  <c r="F53" i="86"/>
  <c r="I762" i="103"/>
  <c r="I57" i="74"/>
  <c r="C76" i="84"/>
  <c r="C73" i="84" s="1"/>
  <c r="C72" i="84"/>
  <c r="E57" i="74"/>
  <c r="E762" i="103"/>
  <c r="I33" i="86"/>
  <c r="E71" i="74"/>
  <c r="G33" i="86"/>
  <c r="C762" i="103"/>
  <c r="C71" i="74"/>
  <c r="C57" i="74"/>
  <c r="E119" i="74"/>
  <c r="E824" i="103"/>
  <c r="E132" i="74"/>
  <c r="D33" i="86"/>
  <c r="J25" i="74"/>
  <c r="J730" i="103"/>
  <c r="J39" i="74"/>
  <c r="G76" i="84"/>
  <c r="G73" i="84" s="1"/>
  <c r="G72" i="84"/>
  <c r="H794" i="103"/>
  <c r="H102" i="74"/>
  <c r="H89" i="74"/>
  <c r="J102" i="74"/>
  <c r="J794" i="103"/>
  <c r="J89" i="74"/>
  <c r="K71" i="74"/>
  <c r="K57" i="74"/>
  <c r="K762" i="103"/>
  <c r="H53" i="86"/>
  <c r="C102" i="74"/>
  <c r="C794" i="103"/>
  <c r="C89" i="74"/>
  <c r="B44" i="82"/>
  <c r="B34" i="74"/>
  <c r="B38" i="74"/>
  <c r="B33" i="74"/>
  <c r="K39" i="74"/>
  <c r="E33" i="86"/>
  <c r="K25" i="74"/>
  <c r="K730" i="103"/>
  <c r="I72" i="84"/>
  <c r="I76" i="84"/>
  <c r="I73" i="84" s="1"/>
  <c r="F57" i="74"/>
  <c r="C53" i="86"/>
  <c r="F762" i="103"/>
  <c r="F71" i="74"/>
  <c r="G53" i="86"/>
  <c r="J71" i="74"/>
  <c r="J57" i="74"/>
  <c r="J762" i="103"/>
  <c r="G89" i="74"/>
  <c r="G102" i="74"/>
  <c r="G794" i="103"/>
  <c r="I794" i="103"/>
  <c r="I102" i="74"/>
  <c r="I89" i="74"/>
  <c r="E102" i="74"/>
  <c r="E89" i="74"/>
  <c r="E794" i="103"/>
  <c r="K72" i="84"/>
  <c r="K76" i="84"/>
  <c r="K73" i="84" s="1"/>
  <c r="F119" i="74"/>
  <c r="F824" i="103"/>
  <c r="F132" i="74"/>
  <c r="E53" i="86"/>
  <c r="H57" i="74"/>
  <c r="H71" i="74"/>
  <c r="H762" i="103"/>
  <c r="F13" i="86"/>
  <c r="E730" i="103"/>
  <c r="E25" i="74"/>
  <c r="E39" i="74"/>
  <c r="D132" i="74"/>
  <c r="D824" i="103"/>
  <c r="D119" i="74"/>
  <c r="C33" i="86"/>
  <c r="I39" i="74"/>
  <c r="I730" i="103"/>
  <c r="I25" i="74"/>
  <c r="E72" i="84"/>
  <c r="E76" i="84"/>
  <c r="E73" i="84" s="1"/>
  <c r="I97" i="74" l="1"/>
  <c r="I96" i="74"/>
  <c r="I101" i="74"/>
  <c r="K732" i="103"/>
  <c r="K746" i="103"/>
  <c r="J809" i="103"/>
  <c r="J796" i="103"/>
  <c r="C764" i="103"/>
  <c r="C778" i="103"/>
  <c r="C732" i="103"/>
  <c r="C746" i="103"/>
  <c r="I33" i="74"/>
  <c r="C29" i="86" s="1"/>
  <c r="I44" i="82"/>
  <c r="I38" i="74"/>
  <c r="I34" i="74"/>
  <c r="E38" i="74"/>
  <c r="E44" i="82"/>
  <c r="E34" i="74"/>
  <c r="F839" i="103"/>
  <c r="F826" i="103"/>
  <c r="K44" i="82"/>
  <c r="K38" i="74"/>
  <c r="K34" i="74"/>
  <c r="C809" i="103"/>
  <c r="C796" i="103"/>
  <c r="J44" i="82"/>
  <c r="J34" i="74"/>
  <c r="J33" i="74"/>
  <c r="D29" i="86" s="1"/>
  <c r="J38" i="74"/>
  <c r="I764" i="103"/>
  <c r="I778" i="103"/>
  <c r="K96" i="74"/>
  <c r="K101" i="74"/>
  <c r="K97" i="74"/>
  <c r="F38" i="74"/>
  <c r="F44" i="82"/>
  <c r="F34" i="74"/>
  <c r="H746" i="103"/>
  <c r="H732" i="103"/>
  <c r="I732" i="103"/>
  <c r="I746" i="103"/>
  <c r="E746" i="103"/>
  <c r="E732" i="103"/>
  <c r="F127" i="74"/>
  <c r="F131" i="74"/>
  <c r="F126" i="74"/>
  <c r="I809" i="103"/>
  <c r="I796" i="103"/>
  <c r="H101" i="74"/>
  <c r="H97" i="74"/>
  <c r="H96" i="74"/>
  <c r="K796" i="103"/>
  <c r="K809" i="103"/>
  <c r="C34" i="74"/>
  <c r="C44" i="82"/>
  <c r="C38" i="74"/>
  <c r="G34" i="74"/>
  <c r="G44" i="82"/>
  <c r="G38" i="74"/>
  <c r="D764" i="103"/>
  <c r="D778" i="103"/>
  <c r="G809" i="103"/>
  <c r="G796" i="103"/>
  <c r="F764" i="103"/>
  <c r="F778" i="103"/>
  <c r="C127" i="74"/>
  <c r="C126" i="74"/>
  <c r="C131" i="74"/>
  <c r="D97" i="74"/>
  <c r="D101" i="74"/>
  <c r="D96" i="74"/>
  <c r="F732" i="103"/>
  <c r="F746" i="103"/>
  <c r="D44" i="82"/>
  <c r="D34" i="74"/>
  <c r="D38" i="74"/>
  <c r="H764" i="103"/>
  <c r="H778" i="103"/>
  <c r="C9" i="86"/>
  <c r="S21" i="74"/>
  <c r="K764" i="103"/>
  <c r="K778" i="103"/>
  <c r="H809" i="103"/>
  <c r="H796" i="103"/>
  <c r="E826" i="103"/>
  <c r="E839" i="103"/>
  <c r="E778" i="103"/>
  <c r="E764" i="103"/>
  <c r="C826" i="103"/>
  <c r="C839" i="103"/>
  <c r="D809" i="103"/>
  <c r="D796" i="103"/>
  <c r="D746" i="103"/>
  <c r="D732" i="103"/>
  <c r="G732" i="103"/>
  <c r="G746" i="103"/>
  <c r="D131" i="74"/>
  <c r="D127" i="74"/>
  <c r="D126" i="74"/>
  <c r="E796" i="103"/>
  <c r="E809" i="103"/>
  <c r="G101" i="74"/>
  <c r="G97" i="74"/>
  <c r="G96" i="74"/>
  <c r="F66" i="74"/>
  <c r="F64" i="82"/>
  <c r="F70" i="74"/>
  <c r="K66" i="74"/>
  <c r="K70" i="74"/>
  <c r="K65" i="74"/>
  <c r="K64" i="82"/>
  <c r="E127" i="74"/>
  <c r="E126" i="74"/>
  <c r="E131" i="74"/>
  <c r="E66" i="74"/>
  <c r="E64" i="82"/>
  <c r="E70" i="74"/>
  <c r="B741" i="103"/>
  <c r="B740" i="103"/>
  <c r="B745" i="103"/>
  <c r="B131" i="74"/>
  <c r="B127" i="74"/>
  <c r="B126" i="74"/>
  <c r="D70" i="74"/>
  <c r="D66" i="74"/>
  <c r="D64" i="82"/>
  <c r="F796" i="103"/>
  <c r="F809" i="103"/>
  <c r="G66" i="74"/>
  <c r="G70" i="74"/>
  <c r="G64" i="82"/>
  <c r="G65" i="74"/>
  <c r="C96" i="74"/>
  <c r="C97" i="74"/>
  <c r="C101" i="74"/>
  <c r="J746" i="103"/>
  <c r="J732" i="103"/>
  <c r="I64" i="82"/>
  <c r="I66" i="74"/>
  <c r="I65" i="74"/>
  <c r="I70" i="74"/>
  <c r="D826" i="103"/>
  <c r="D839" i="103"/>
  <c r="H64" i="82"/>
  <c r="H70" i="74"/>
  <c r="H66" i="74"/>
  <c r="H65" i="74"/>
  <c r="E96" i="74"/>
  <c r="E101" i="74"/>
  <c r="E97" i="74"/>
  <c r="J764" i="103"/>
  <c r="J778" i="103"/>
  <c r="C70" i="74"/>
  <c r="C64" i="82"/>
  <c r="C66" i="74"/>
  <c r="B839" i="103"/>
  <c r="B826" i="103"/>
  <c r="B764" i="103"/>
  <c r="B778" i="103"/>
  <c r="B796" i="103"/>
  <c r="B809" i="103"/>
  <c r="J64" i="82"/>
  <c r="J70" i="74"/>
  <c r="J65" i="74"/>
  <c r="J66" i="74"/>
  <c r="B51" i="82"/>
  <c r="B46" i="82"/>
  <c r="J96" i="74"/>
  <c r="J101" i="74"/>
  <c r="J97" i="74"/>
  <c r="B96" i="74"/>
  <c r="B97" i="74"/>
  <c r="B101" i="74"/>
  <c r="H34" i="74"/>
  <c r="H38" i="74"/>
  <c r="H44" i="82"/>
  <c r="B64" i="82"/>
  <c r="B70" i="74"/>
  <c r="B66" i="74"/>
  <c r="F97" i="74"/>
  <c r="F101" i="74"/>
  <c r="F96" i="74"/>
  <c r="G778" i="103"/>
  <c r="G764" i="103"/>
  <c r="I773" i="103" l="1"/>
  <c r="I777" i="103"/>
  <c r="I772" i="103"/>
  <c r="G745" i="103"/>
  <c r="G741" i="103"/>
  <c r="D51" i="82"/>
  <c r="D46" i="82"/>
  <c r="G51" i="82"/>
  <c r="G46" i="82"/>
  <c r="K803" i="103"/>
  <c r="K808" i="103"/>
  <c r="K804" i="103"/>
  <c r="F51" i="82"/>
  <c r="F46" i="82"/>
  <c r="J803" i="103"/>
  <c r="J808" i="103"/>
  <c r="J804" i="103"/>
  <c r="D66" i="82"/>
  <c r="D71" i="82"/>
  <c r="G773" i="103"/>
  <c r="G777" i="103"/>
  <c r="G772" i="103"/>
  <c r="B71" i="82"/>
  <c r="B66" i="82"/>
  <c r="J71" i="82"/>
  <c r="J66" i="82"/>
  <c r="G71" i="82"/>
  <c r="G66" i="82"/>
  <c r="D745" i="103"/>
  <c r="D741" i="103"/>
  <c r="E741" i="103"/>
  <c r="E745" i="103"/>
  <c r="K46" i="82"/>
  <c r="K51" i="82"/>
  <c r="H46" i="82"/>
  <c r="H51" i="82"/>
  <c r="C66" i="82"/>
  <c r="C71" i="82"/>
  <c r="I71" i="82"/>
  <c r="I66" i="82"/>
  <c r="E71" i="82"/>
  <c r="E66" i="82"/>
  <c r="E838" i="103"/>
  <c r="E833" i="103"/>
  <c r="E834" i="103"/>
  <c r="F745" i="103"/>
  <c r="F741" i="103"/>
  <c r="F777" i="103"/>
  <c r="F773" i="103"/>
  <c r="F833" i="103"/>
  <c r="F838" i="103"/>
  <c r="F834" i="103"/>
  <c r="I51" i="82"/>
  <c r="I46" i="82"/>
  <c r="E777" i="103"/>
  <c r="E773" i="103"/>
  <c r="C777" i="103"/>
  <c r="C773" i="103"/>
  <c r="B803" i="103"/>
  <c r="B808" i="103"/>
  <c r="B804" i="103"/>
  <c r="J741" i="103"/>
  <c r="J745" i="103"/>
  <c r="J740" i="103"/>
  <c r="E803" i="103"/>
  <c r="E804" i="103"/>
  <c r="E808" i="103"/>
  <c r="D804" i="103"/>
  <c r="D808" i="103"/>
  <c r="D803" i="103"/>
  <c r="H804" i="103"/>
  <c r="H808" i="103"/>
  <c r="H803" i="103"/>
  <c r="G803" i="103"/>
  <c r="G808" i="103"/>
  <c r="G804" i="103"/>
  <c r="J51" i="82"/>
  <c r="J46" i="82"/>
  <c r="K745" i="103"/>
  <c r="K741" i="103"/>
  <c r="H71" i="82"/>
  <c r="H66" i="82"/>
  <c r="H777" i="103"/>
  <c r="H772" i="103"/>
  <c r="H773" i="103"/>
  <c r="C51" i="82"/>
  <c r="C46" i="82"/>
  <c r="I804" i="103"/>
  <c r="I803" i="103"/>
  <c r="I808" i="103"/>
  <c r="I745" i="103"/>
  <c r="I741" i="103"/>
  <c r="I740" i="103"/>
  <c r="C808" i="103"/>
  <c r="C804" i="103"/>
  <c r="C803" i="103"/>
  <c r="K71" i="82"/>
  <c r="K66" i="82"/>
  <c r="B773" i="103"/>
  <c r="B777" i="103"/>
  <c r="J772" i="103"/>
  <c r="J773" i="103"/>
  <c r="J777" i="103"/>
  <c r="F803" i="103"/>
  <c r="F804" i="103"/>
  <c r="F808" i="103"/>
  <c r="F71" i="82"/>
  <c r="F66" i="82"/>
  <c r="H745" i="103"/>
  <c r="H741" i="103"/>
  <c r="E51" i="82"/>
  <c r="E46" i="82"/>
  <c r="C741" i="103"/>
  <c r="C745" i="103"/>
  <c r="B838" i="103"/>
  <c r="B833" i="103"/>
  <c r="B834" i="103"/>
  <c r="D833" i="103"/>
  <c r="D838" i="103"/>
  <c r="D834" i="103"/>
  <c r="C838" i="103"/>
  <c r="C834" i="103"/>
  <c r="C833" i="103"/>
  <c r="K772" i="103"/>
  <c r="K777" i="103"/>
  <c r="K773" i="103"/>
  <c r="D773" i="103"/>
  <c r="D777" i="103"/>
  <c r="B25" i="82" l="1"/>
  <c r="K52" i="82" s="1"/>
  <c r="K54" i="82" s="1"/>
  <c r="K55" i="82" s="1"/>
  <c r="K56" i="82" s="1"/>
  <c r="J52" i="82" l="1"/>
  <c r="J54" i="82" s="1"/>
  <c r="J55" i="82" s="1"/>
  <c r="J56" i="82" s="1"/>
  <c r="D72" i="82"/>
  <c r="D74" i="82" s="1"/>
  <c r="D75" i="82" s="1"/>
  <c r="D76" i="82" s="1"/>
  <c r="G72" i="82"/>
  <c r="G74" i="82" s="1"/>
  <c r="G75" i="82" s="1"/>
  <c r="G76" i="82" s="1"/>
  <c r="B26" i="82"/>
  <c r="B28" i="82" s="1"/>
  <c r="H52" i="82"/>
  <c r="H54" i="82" s="1"/>
  <c r="H55" i="82" s="1"/>
  <c r="H56" i="82" s="1"/>
  <c r="I52" i="82"/>
  <c r="I54" i="82" s="1"/>
  <c r="I55" i="82" s="1"/>
  <c r="I56" i="82" s="1"/>
  <c r="B72" i="82"/>
  <c r="B74" i="82" s="1"/>
  <c r="B75" i="82" s="1"/>
  <c r="B76" i="82" s="1"/>
  <c r="H72" i="82"/>
  <c r="H74" i="82" s="1"/>
  <c r="H75" i="82" s="1"/>
  <c r="H76" i="82" s="1"/>
  <c r="E52" i="82"/>
  <c r="E54" i="82" s="1"/>
  <c r="E55" i="82" s="1"/>
  <c r="E56" i="82" s="1"/>
  <c r="B52" i="82"/>
  <c r="B54" i="82" s="1"/>
  <c r="B55" i="82" s="1"/>
  <c r="B56" i="82" s="1"/>
  <c r="F72" i="82"/>
  <c r="F74" i="82" s="1"/>
  <c r="F75" i="82" s="1"/>
  <c r="F76" i="82" s="1"/>
  <c r="J72" i="82"/>
  <c r="J74" i="82" s="1"/>
  <c r="J75" i="82" s="1"/>
  <c r="J76" i="82" s="1"/>
  <c r="E72" i="82"/>
  <c r="E74" i="82" s="1"/>
  <c r="E75" i="82" s="1"/>
  <c r="E76" i="82" s="1"/>
  <c r="F52" i="82"/>
  <c r="F54" i="82" s="1"/>
  <c r="F55" i="82" s="1"/>
  <c r="F56" i="82" s="1"/>
  <c r="I72" i="82"/>
  <c r="I74" i="82" s="1"/>
  <c r="I75" i="82" s="1"/>
  <c r="I76" i="82" s="1"/>
  <c r="C52" i="82"/>
  <c r="C54" i="82" s="1"/>
  <c r="C55" i="82" s="1"/>
  <c r="C56" i="82" s="1"/>
  <c r="D52" i="82"/>
  <c r="D54" i="82" s="1"/>
  <c r="D55" i="82" s="1"/>
  <c r="D56" i="82" s="1"/>
  <c r="C72" i="82"/>
  <c r="C74" i="82" s="1"/>
  <c r="C75" i="82" s="1"/>
  <c r="C76" i="82" s="1"/>
  <c r="G52" i="82"/>
  <c r="G54" i="82" s="1"/>
  <c r="G55" i="82" s="1"/>
  <c r="G56" i="82" s="1"/>
  <c r="K72" i="82"/>
  <c r="K74" i="82" s="1"/>
  <c r="K75" i="82" s="1"/>
  <c r="K76" i="82" s="1"/>
  <c r="B9" i="82" l="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9" i="82"/>
  <c r="P73" i="78" l="1"/>
  <c r="P176" i="103"/>
  <c r="P186" i="103" s="1"/>
  <c r="L71" i="103" l="1"/>
  <c r="L73" i="103"/>
  <c r="L33" i="68"/>
  <c r="L76" i="103" l="1"/>
  <c r="B32" i="82"/>
  <c r="B35" i="82"/>
  <c r="G21" i="82" s="1"/>
  <c r="I88" i="103"/>
  <c r="P45" i="68"/>
  <c r="F64" i="74" s="1"/>
  <c r="B44" i="74"/>
  <c r="B751" i="103" s="1"/>
  <c r="D64" i="74"/>
  <c r="E64" i="74"/>
  <c r="I34" i="86" s="1"/>
  <c r="D65" i="74"/>
  <c r="H29" i="86" s="1"/>
  <c r="C54" i="86" l="1"/>
  <c r="F771" i="103"/>
  <c r="F772" i="103" s="1"/>
  <c r="F65" i="74"/>
  <c r="C49" i="86" s="1"/>
  <c r="E771" i="103"/>
  <c r="E772" i="103" s="1"/>
  <c r="E65" i="74"/>
  <c r="I29" i="86" s="1"/>
  <c r="K32" i="74"/>
  <c r="H34" i="86"/>
  <c r="C64" i="74"/>
  <c r="B64" i="74"/>
  <c r="B36" i="82"/>
  <c r="D771" i="103"/>
  <c r="D772" i="103" s="1"/>
  <c r="P88" i="103"/>
  <c r="B771" i="103" l="1"/>
  <c r="B772" i="103" s="1"/>
  <c r="B65" i="74"/>
  <c r="F29" i="86" s="1"/>
  <c r="F34" i="86"/>
  <c r="C771" i="103"/>
  <c r="C772" i="103" s="1"/>
  <c r="C65" i="74"/>
  <c r="G29" i="86" s="1"/>
  <c r="G34" i="86"/>
  <c r="K33" i="74"/>
  <c r="E34" i="86"/>
  <c r="K739" i="103"/>
  <c r="K740" i="103" s="1"/>
  <c r="E29" i="86" l="1"/>
  <c r="E6" i="86" l="1"/>
  <c r="K5" i="86" s="1"/>
  <c r="G11" i="91"/>
  <c r="L11" i="95"/>
  <c r="B5" i="82"/>
  <c r="B38" i="82"/>
  <c r="I95" i="103"/>
  <c r="I103" i="103" s="1"/>
  <c r="I96" i="103"/>
  <c r="I99" i="103"/>
  <c r="N52" i="68"/>
  <c r="I60" i="68"/>
  <c r="J290" i="103" s="1"/>
  <c r="L380" i="72"/>
  <c r="C30" i="100"/>
  <c r="C30" i="84"/>
  <c r="O67" i="85"/>
  <c r="A67" i="85" s="1"/>
  <c r="A21" i="83" s="1"/>
  <c r="N95" i="103" l="1"/>
  <c r="J177" i="78"/>
  <c r="G235" i="103"/>
  <c r="G240" i="103" s="1"/>
  <c r="P235" i="103"/>
  <c r="P240" i="103"/>
  <c r="P259" i="103" s="1"/>
  <c r="P275" i="103" s="1"/>
  <c r="P122" i="78"/>
  <c r="G127" i="78"/>
  <c r="F122" i="78" s="1"/>
  <c r="F235" i="103" s="1"/>
  <c r="P127" i="78"/>
  <c r="P146" i="78" s="1"/>
  <c r="P162" i="78" s="1"/>
  <c r="E3" i="86" l="1"/>
  <c r="G259" i="103"/>
  <c r="A240" i="103"/>
  <c r="A127" i="78"/>
  <c r="D45" i="68"/>
  <c r="D88" i="103" s="1"/>
  <c r="F125" i="78"/>
  <c r="F238" i="103" s="1"/>
  <c r="F124" i="78"/>
  <c r="F237" i="103" s="1"/>
  <c r="F126" i="78"/>
  <c r="F239" i="103" s="1"/>
  <c r="C135" i="90"/>
  <c r="L65" i="85" s="1"/>
  <c r="G146" i="78"/>
  <c r="D261" i="103" l="1"/>
  <c r="G261" i="103"/>
  <c r="J289" i="103"/>
  <c r="J291" i="103" s="1"/>
  <c r="J293" i="103" s="1"/>
  <c r="J296" i="103" s="1"/>
  <c r="F15" i="86"/>
  <c r="I35" i="86"/>
  <c r="I37" i="86" s="1"/>
  <c r="I38" i="86" s="1"/>
  <c r="I40" i="86" s="1"/>
  <c r="I44" i="86" s="1"/>
  <c r="K19" i="86" s="1"/>
  <c r="F55" i="86"/>
  <c r="F57" i="86" s="1"/>
  <c r="F58" i="86" s="1"/>
  <c r="F60" i="86" s="1"/>
  <c r="F64" i="86" s="1"/>
  <c r="K23" i="86" s="1"/>
  <c r="O17" i="86"/>
  <c r="G15" i="86"/>
  <c r="G55" i="86"/>
  <c r="G57" i="86" s="1"/>
  <c r="G58" i="86" s="1"/>
  <c r="G60" i="86" s="1"/>
  <c r="G64" i="86" s="1"/>
  <c r="K24" i="86" s="1"/>
  <c r="E15" i="86"/>
  <c r="H35" i="86"/>
  <c r="H37" i="86" s="1"/>
  <c r="H38" i="86" s="1"/>
  <c r="H40" i="86" s="1"/>
  <c r="H44" i="86" s="1"/>
  <c r="K18" i="86" s="1"/>
  <c r="E55" i="86"/>
  <c r="E57" i="86" s="1"/>
  <c r="E58" i="86" s="1"/>
  <c r="E60" i="86" s="1"/>
  <c r="E64" i="86" s="1"/>
  <c r="K22" i="86" s="1"/>
  <c r="H15" i="86"/>
  <c r="C35" i="86"/>
  <c r="C37" i="86" s="1"/>
  <c r="C38" i="86" s="1"/>
  <c r="C40" i="86" s="1"/>
  <c r="C44" i="86" s="1"/>
  <c r="K13" i="86" s="1"/>
  <c r="H55" i="86"/>
  <c r="H57" i="86" s="1"/>
  <c r="H58" i="86" s="1"/>
  <c r="H60" i="86" s="1"/>
  <c r="H64" i="86" s="1"/>
  <c r="K25" i="86" s="1"/>
  <c r="F35" i="86"/>
  <c r="F37" i="86" s="1"/>
  <c r="F38" i="86" s="1"/>
  <c r="F40" i="86" s="1"/>
  <c r="F44" i="86" s="1"/>
  <c r="K16" i="86" s="1"/>
  <c r="C55" i="86"/>
  <c r="C57" i="86" s="1"/>
  <c r="C58" i="86" s="1"/>
  <c r="C60" i="86" s="1"/>
  <c r="C64" i="86" s="1"/>
  <c r="K20" i="86" s="1"/>
  <c r="I15" i="86"/>
  <c r="D35" i="86"/>
  <c r="D37" i="86" s="1"/>
  <c r="D38" i="86" s="1"/>
  <c r="D40" i="86" s="1"/>
  <c r="D44" i="86" s="1"/>
  <c r="K14" i="86" s="1"/>
  <c r="E35" i="86"/>
  <c r="E37" i="86" s="1"/>
  <c r="E38" i="86" s="1"/>
  <c r="E40" i="86" s="1"/>
  <c r="E44" i="86" s="1"/>
  <c r="K15" i="86" s="1"/>
  <c r="C15" i="86"/>
  <c r="C17" i="86" s="1"/>
  <c r="C18" i="86" s="1"/>
  <c r="C20" i="86" s="1"/>
  <c r="C24" i="86" s="1"/>
  <c r="K6" i="86" s="1"/>
  <c r="G66" i="86" s="1"/>
  <c r="N92" i="85" s="1"/>
  <c r="D15" i="86"/>
  <c r="O16" i="86"/>
  <c r="O19" i="86" s="1"/>
  <c r="O23" i="86" s="1"/>
  <c r="O25" i="86" s="1"/>
  <c r="O31" i="86" s="1"/>
  <c r="O33" i="86" s="1"/>
  <c r="H63" i="86" s="1"/>
  <c r="G35" i="86"/>
  <c r="G37" i="86" s="1"/>
  <c r="G38" i="86" s="1"/>
  <c r="G40" i="86" s="1"/>
  <c r="G44" i="86" s="1"/>
  <c r="K17" i="86" s="1"/>
  <c r="D55" i="86"/>
  <c r="D57" i="86" s="1"/>
  <c r="D58" i="86" s="1"/>
  <c r="D60" i="86" s="1"/>
  <c r="D64" i="86" s="1"/>
  <c r="K21" i="86" s="1"/>
  <c r="B4" i="82"/>
  <c r="I61" i="68"/>
  <c r="C18" i="84"/>
  <c r="P56" i="98"/>
  <c r="L34" i="68"/>
  <c r="D148" i="78"/>
  <c r="C18" i="100"/>
  <c r="I104" i="103"/>
  <c r="G148" i="78"/>
  <c r="P53" i="98"/>
  <c r="J176" i="78"/>
  <c r="J178" i="78" s="1"/>
  <c r="J180" i="78" s="1"/>
  <c r="L35" i="68" l="1"/>
  <c r="L77" i="103"/>
  <c r="L78" i="103" s="1"/>
  <c r="K40" i="100"/>
  <c r="C19" i="100"/>
  <c r="C38" i="100"/>
  <c r="D18" i="100"/>
  <c r="C20" i="100"/>
  <c r="D18" i="84"/>
  <c r="C19" i="84"/>
  <c r="C20" i="84"/>
  <c r="C38" i="84"/>
  <c r="K40" i="84"/>
  <c r="I62" i="68"/>
  <c r="P47" i="68" s="1"/>
  <c r="P90" i="103" s="1"/>
  <c r="P52" i="68"/>
  <c r="P51" i="68"/>
  <c r="B6" i="82"/>
  <c r="B7" i="82" s="1"/>
  <c r="B10" i="82"/>
  <c r="B11" i="82" s="1"/>
  <c r="J183" i="78"/>
  <c r="B15" i="82"/>
  <c r="P94" i="103"/>
  <c r="P95" i="103"/>
  <c r="I105" i="103"/>
  <c r="P53" i="68" l="1"/>
  <c r="P96" i="103"/>
  <c r="P270" i="103"/>
  <c r="P272" i="103"/>
  <c r="P276" i="103"/>
  <c r="P277" i="103" s="1"/>
  <c r="P279" i="103" s="1"/>
  <c r="P281" i="103" s="1"/>
  <c r="P283" i="103" s="1"/>
  <c r="J284" i="103" s="1"/>
  <c r="P159" i="78"/>
  <c r="P163" i="78"/>
  <c r="P164" i="78"/>
  <c r="P166" i="78" s="1"/>
  <c r="P168" i="78" s="1"/>
  <c r="P170" i="78" s="1"/>
  <c r="J171" i="78" s="1"/>
  <c r="D9" i="86"/>
  <c r="D14" i="86"/>
  <c r="D17" i="86"/>
  <c r="D18" i="86" s="1"/>
  <c r="D20" i="86" s="1"/>
  <c r="D24" i="86" s="1"/>
  <c r="K7" i="86" s="1"/>
  <c r="C739" i="103"/>
  <c r="C740" i="103"/>
  <c r="R22" i="74"/>
  <c r="C33" i="74"/>
  <c r="S22" i="74" s="1"/>
  <c r="C44" i="74"/>
  <c r="C751" i="103" s="1"/>
  <c r="E9" i="86"/>
  <c r="E17" i="86" s="1"/>
  <c r="E18" i="86" s="1"/>
  <c r="E20" i="86" s="1"/>
  <c r="E24" i="86" s="1"/>
  <c r="K8" i="86" s="1"/>
  <c r="F9" i="86"/>
  <c r="F17" i="86" s="1"/>
  <c r="F18" i="86" s="1"/>
  <c r="I9" i="86"/>
  <c r="I17" i="86" s="1"/>
  <c r="I18" i="86" s="1"/>
  <c r="I20" i="86" s="1"/>
  <c r="I24" i="86" s="1"/>
  <c r="K12" i="86" s="1"/>
  <c r="E14" i="86"/>
  <c r="F14" i="86"/>
  <c r="G14" i="86"/>
  <c r="H14" i="86"/>
  <c r="I14" i="86"/>
  <c r="D739" i="103"/>
  <c r="D740" i="103" s="1"/>
  <c r="E739" i="103"/>
  <c r="F739" i="103"/>
  <c r="G739" i="103"/>
  <c r="H739" i="103"/>
  <c r="H740" i="103" s="1"/>
  <c r="E740" i="103"/>
  <c r="F740" i="103"/>
  <c r="G740" i="103"/>
  <c r="I47" i="68"/>
  <c r="R23" i="74"/>
  <c r="S23" i="74"/>
  <c r="R24" i="74"/>
  <c r="R25" i="74"/>
  <c r="R26" i="74"/>
  <c r="R27" i="74"/>
  <c r="R28" i="74"/>
  <c r="R29" i="74"/>
  <c r="R30" i="74"/>
  <c r="R31" i="74"/>
  <c r="R32" i="74"/>
  <c r="D33" i="74"/>
  <c r="S24" i="74" s="1"/>
  <c r="E33" i="74"/>
  <c r="S29" i="74" s="1"/>
  <c r="F33" i="74"/>
  <c r="S27" i="74" s="1"/>
  <c r="G33" i="74"/>
  <c r="H9" i="86" s="1"/>
  <c r="H33" i="74"/>
  <c r="R33" i="74"/>
  <c r="R34" i="74"/>
  <c r="R35" i="74"/>
  <c r="S35" i="74"/>
  <c r="F47" i="68" s="1"/>
  <c r="R36" i="74"/>
  <c r="R37" i="74"/>
  <c r="R38" i="74"/>
  <c r="R39" i="74"/>
  <c r="S39" i="74"/>
  <c r="R40" i="74"/>
  <c r="D44" i="74"/>
  <c r="D751" i="103" s="1"/>
  <c r="E44" i="74"/>
  <c r="F44" i="74" s="1"/>
  <c r="H17" i="86" l="1"/>
  <c r="H18" i="86" s="1"/>
  <c r="H20" i="86"/>
  <c r="H24" i="86" s="1"/>
  <c r="K11" i="86" s="1"/>
  <c r="F751" i="103"/>
  <c r="G44" i="74"/>
  <c r="F90" i="103"/>
  <c r="L47" i="68"/>
  <c r="L90" i="103" s="1"/>
  <c r="S37" i="74"/>
  <c r="S31" i="74"/>
  <c r="S40" i="74"/>
  <c r="S36" i="74"/>
  <c r="I90" i="103"/>
  <c r="F20" i="86"/>
  <c r="F24" i="86" s="1"/>
  <c r="K9" i="86" s="1"/>
  <c r="S30" i="74"/>
  <c r="S26" i="74"/>
  <c r="G9" i="86"/>
  <c r="S25" i="74"/>
  <c r="E751" i="103"/>
  <c r="S38" i="74"/>
  <c r="S34" i="74"/>
  <c r="S32" i="74"/>
  <c r="S28" i="74"/>
  <c r="S33" i="74"/>
  <c r="F85" i="92" l="1"/>
  <c r="F89" i="92" s="1"/>
  <c r="F105" i="92" s="1"/>
  <c r="H44" i="74"/>
  <c r="G751" i="103"/>
  <c r="G17" i="86"/>
  <c r="G18" i="86" s="1"/>
  <c r="G20" i="86" s="1"/>
  <c r="G24" i="86" s="1"/>
  <c r="K10" i="86" s="1"/>
  <c r="I44" i="74" l="1"/>
  <c r="H751" i="103"/>
  <c r="J44" i="74" l="1"/>
  <c r="I751" i="103"/>
  <c r="J751" i="103" l="1"/>
  <c r="K44" i="74"/>
  <c r="B76" i="74" l="1"/>
  <c r="K751" i="103"/>
  <c r="C76" i="74" l="1"/>
  <c r="B783" i="103"/>
  <c r="D76" i="74" l="1"/>
  <c r="C783" i="103"/>
  <c r="E76" i="74" l="1"/>
  <c r="D783" i="103"/>
  <c r="F76" i="74" l="1"/>
  <c r="E783" i="103"/>
  <c r="G76" i="74" l="1"/>
  <c r="G783" i="103" s="1"/>
  <c r="F783" i="10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<sst xmlns="http://schemas.openxmlformats.org/spreadsheetml/2006/main" count="19308" uniqueCount="7127">
  <si>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</si>
  <si>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</si>
  <si>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</si>
  <si>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</si>
  <si>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</si>
  <si>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</si>
  <si>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</si>
  <si>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</si>
  <si>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</si>
  <si>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</si>
  <si>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</si>
  <si>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</si>
  <si>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</si>
  <si>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</si>
  <si>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</si>
  <si>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</si>
  <si>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</si>
  <si>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</si>
  <si>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</si>
  <si>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</si>
  <si>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</si>
  <si>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</si>
  <si>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</si>
  <si>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</si>
  <si>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</si>
  <si>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</si>
  <si>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</si>
  <si>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</si>
  <si>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</si>
  <si>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</si>
  <si>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</si>
  <si>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</si>
  <si>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</si>
  <si>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</si>
  <si>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</si>
  <si>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</si>
  <si>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</si>
  <si>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</si>
  <si>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</si>
  <si>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</si>
  <si>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</si>
  <si>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</si>
  <si>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</si>
  <si>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</si>
  <si>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</si>
  <si>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</si>
  <si>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</si>
  <si>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</si>
  <si>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</si>
  <si>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</si>
  <si>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</si>
  <si>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</si>
  <si>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</si>
  <si>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</si>
  <si>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</si>
  <si>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</si>
  <si>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</si>
  <si>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</si>
  <si>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</si>
  <si>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</si>
  <si>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</si>
  <si>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</si>
  <si>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</si>
  <si>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</si>
  <si>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</si>
  <si>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</si>
  <si>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</si>
  <si>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</si>
  <si>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</si>
  <si>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</si>
  <si>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</si>
  <si>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</si>
  <si>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</si>
  <si>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</si>
  <si>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</si>
  <si>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</si>
  <si>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</si>
  <si>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</si>
  <si>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</si>
  <si>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</si>
  <si>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</si>
  <si>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</si>
  <si>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</si>
  <si>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</si>
  <si>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</si>
  <si>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</si>
  <si>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</si>
  <si>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</si>
  <si>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</si>
  <si>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</si>
  <si>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</si>
  <si>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</si>
  <si>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</si>
  <si>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</si>
  <si>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</si>
  <si>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</si>
  <si>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</si>
  <si>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</si>
  <si>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</si>
  <si>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</si>
  <si>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</si>
  <si>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</si>
  <si>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</si>
  <si>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</si>
  <si>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</si>
  <si>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</si>
  <si>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</si>
  <si>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</si>
  <si>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</si>
  <si>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</si>
  <si>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</si>
  <si>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</si>
  <si>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</si>
  <si>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</si>
  <si>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</si>
  <si>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</si>
  <si>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</si>
  <si>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</si>
  <si>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</si>
  <si>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</si>
  <si>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</si>
  <si>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</si>
  <si>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</si>
  <si>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</si>
  <si>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</si>
  <si>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</si>
  <si>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</si>
  <si>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</si>
  <si>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</si>
  <si>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</si>
  <si>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</si>
  <si>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</si>
  <si>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</si>
  <si>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</si>
  <si>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</si>
  <si>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</si>
  <si>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</si>
  <si>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</si>
  <si>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</si>
  <si>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</si>
  <si>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</si>
  <si>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</si>
  <si>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</si>
  <si>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</si>
  <si>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</si>
  <si>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</si>
  <si>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</si>
  <si>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</si>
  <si>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</si>
  <si>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</si>
  <si>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</si>
  <si>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</si>
  <si>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</si>
  <si>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</si>
  <si>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</si>
  <si>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</si>
  <si>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</si>
  <si>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</si>
  <si>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</si>
  <si>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</si>
  <si>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</si>
  <si>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</si>
  <si>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</si>
  <si>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</si>
  <si>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</si>
  <si>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</si>
  <si>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</si>
  <si>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</si>
  <si>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</si>
  <si>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</si>
  <si>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</si>
  <si>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</si>
  <si>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</si>
  <si>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</si>
  <si>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</si>
  <si>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</si>
  <si>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</si>
  <si>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</si>
  <si>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</si>
  <si>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</si>
  <si>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</si>
  <si>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</si>
  <si>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</si>
  <si>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</si>
  <si>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</si>
  <si>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</si>
  <si>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</si>
  <si>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</si>
  <si>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</si>
  <si>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</si>
  <si>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</si>
  <si>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</si>
  <si>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</si>
  <si>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</si>
  <si>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</si>
  <si>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</si>
  <si>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</si>
  <si>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</si>
  <si>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</si>
  <si>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</si>
  <si>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</si>
  <si>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</si>
  <si>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</si>
  <si>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</si>
  <si>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</si>
  <si>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</si>
  <si>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</si>
  <si>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</si>
  <si>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</si>
  <si>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</si>
  <si>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</si>
  <si>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</si>
  <si>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</si>
  <si>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</si>
  <si>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</si>
  <si>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</si>
  <si>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</si>
  <si>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</si>
  <si>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</si>
  <si>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</si>
  <si>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</si>
  <si>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</si>
  <si>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</si>
  <si>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</si>
  <si>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</si>
  <si>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</si>
  <si>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</si>
  <si>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</si>
  <si>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</si>
  <si>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</si>
  <si>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</si>
  <si>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</si>
  <si>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</si>
  <si>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</si>
  <si>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</si>
  <si>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</si>
  <si>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</si>
  <si>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</si>
  <si>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</si>
  <si>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</si>
  <si>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</si>
  <si>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</si>
  <si>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</si>
  <si>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</si>
  <si>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</si>
  <si>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</si>
  <si>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</si>
  <si>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</si>
  <si>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</si>
  <si>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</si>
  <si>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</si>
  <si>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</si>
  <si>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</si>
  <si>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</si>
  <si>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</si>
  <si>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</si>
  <si>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</si>
  <si>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</si>
  <si>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</si>
  <si>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</si>
  <si>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</si>
  <si>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</si>
  <si>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</si>
  <si>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</si>
  <si>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</si>
  <si>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</si>
  <si>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</si>
  <si>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</si>
  <si>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</si>
  <si>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</si>
  <si>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</si>
  <si>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</si>
  <si>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</si>
  <si>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</si>
  <si>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</si>
  <si>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</si>
  <si>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</si>
  <si>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</si>
  <si>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</si>
  <si>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</si>
  <si>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</si>
  <si>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</si>
  <si>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</si>
  <si>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</si>
  <si>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</si>
  <si>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</si>
  <si>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</si>
  <si>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</si>
  <si>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</si>
  <si>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</si>
  <si>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</si>
  <si>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</si>
  <si>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</si>
  <si>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</si>
  <si>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</si>
  <si>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</si>
  <si>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</si>
  <si>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</si>
  <si>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</si>
  <si>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</si>
  <si>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</si>
  <si>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</si>
  <si>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</si>
  <si>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</si>
  <si>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</si>
  <si>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</si>
  <si>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</si>
  <si>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</si>
  <si>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</si>
  <si>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</si>
  <si>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</si>
  <si>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</si>
  <si>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</si>
  <si>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</si>
  <si>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</si>
  <si>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</si>
  <si>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</si>
  <si>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</si>
  <si>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</si>
  <si>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</si>
  <si>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</si>
  <si>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</si>
  <si>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</si>
  <si>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</si>
  <si>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</si>
  <si>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</si>
  <si>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</si>
  <si>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</si>
  <si>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</si>
  <si>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</si>
  <si>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</si>
  <si>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</si>
  <si>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</si>
  <si>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</si>
  <si>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</si>
  <si>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</si>
  <si>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</si>
  <si>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</si>
  <si>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</si>
  <si>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</si>
  <si>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</si>
  <si>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</si>
  <si>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</si>
  <si>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</si>
  <si>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</si>
  <si>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</si>
  <si>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</si>
  <si>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</si>
  <si>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</si>
  <si>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</si>
  <si>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</si>
  <si>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</si>
  <si>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</si>
  <si>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</si>
  <si>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</si>
  <si>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</si>
  <si>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</si>
  <si>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</si>
  <si>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</si>
  <si>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</si>
  <si>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</si>
  <si>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</si>
  <si>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</si>
  <si>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</si>
  <si>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</si>
  <si>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</si>
  <si>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</si>
  <si>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</si>
  <si>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</si>
  <si>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</si>
  <si>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</si>
  <si>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</si>
  <si>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</si>
  <si>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</si>
  <si>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</si>
  <si>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</si>
  <si>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</si>
  <si>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</si>
  <si>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</si>
  <si>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</si>
  <si>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</si>
  <si>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</si>
  <si>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</si>
  <si>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</si>
  <si>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</si>
  <si>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</si>
  <si>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</si>
  <si>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</si>
  <si>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</si>
  <si>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</si>
  <si>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</si>
  <si>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</si>
  <si>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</si>
  <si>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</si>
  <si>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</si>
  <si>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</si>
  <si>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</si>
  <si>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</si>
  <si>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</si>
  <si>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</si>
  <si>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</si>
  <si>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</si>
  <si>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</si>
  <si>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</si>
  <si>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</si>
  <si>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</si>
  <si>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</si>
  <si>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</si>
  <si>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</si>
  <si>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</si>
  <si>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</si>
  <si>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</si>
  <si>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</si>
  <si>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</si>
  <si>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</si>
  <si>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</si>
  <si>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</si>
  <si>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</si>
  <si>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</si>
  <si>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</si>
  <si>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</si>
  <si>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</si>
  <si>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</si>
  <si>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</si>
  <si>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</si>
  <si>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</si>
  <si>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</si>
  <si>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</si>
  <si>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</si>
  <si>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</si>
  <si>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</si>
  <si>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</si>
  <si>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</si>
  <si>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</si>
  <si>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</si>
  <si>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</si>
  <si>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</si>
  <si>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</si>
  <si>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</si>
  <si>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</si>
  <si>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</si>
  <si>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</si>
  <si>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</si>
  <si>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</si>
  <si>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</si>
  <si>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</si>
  <si>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</si>
  <si>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</si>
  <si>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</si>
  <si>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</si>
  <si>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</si>
  <si>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</si>
  <si>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</si>
  <si>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</si>
  <si>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</si>
  <si>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</si>
  <si>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</si>
  <si>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</si>
  <si>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</si>
  <si>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</si>
  <si>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</si>
  <si>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</si>
  <si>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</si>
  <si>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</si>
  <si>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</si>
  <si>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</si>
  <si>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</si>
  <si>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</si>
  <si>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</si>
  <si>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</si>
  <si>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</si>
  <si>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</si>
  <si>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</si>
  <si>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</si>
  <si>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</si>
  <si>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</si>
  <si>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</si>
  <si>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</si>
  <si>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</si>
  <si>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</si>
  <si>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</si>
  <si>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</si>
  <si>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</si>
  <si>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</si>
  <si>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</si>
  <si>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</si>
  <si>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</si>
  <si>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</si>
  <si>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</si>
  <si>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</si>
  <si>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</si>
  <si>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</si>
  <si>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</si>
  <si>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</si>
  <si>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</si>
  <si>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</si>
  <si>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</si>
  <si>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</si>
  <si>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</si>
  <si>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</si>
  <si>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</si>
  <si>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</si>
  <si>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</si>
  <si>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</si>
  <si>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</si>
  <si>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</si>
  <si>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</si>
  <si>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</si>
  <si>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</si>
  <si>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</si>
  <si>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</si>
  <si>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</si>
  <si>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</si>
  <si>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</si>
  <si>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</si>
  <si>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</si>
  <si>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</si>
  <si>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</si>
  <si>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</si>
  <si>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</si>
  <si>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</si>
  <si>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</si>
  <si>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</si>
  <si>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</si>
  <si>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</si>
  <si>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</si>
  <si>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</si>
  <si>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</si>
  <si>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</si>
  <si>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</si>
  <si>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</si>
  <si>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</si>
  <si>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</si>
  <si>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</si>
  <si>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</si>
  <si>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</si>
  <si>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</si>
  <si>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</si>
  <si>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</si>
  <si>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</si>
  <si>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</si>
  <si>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</si>
  <si>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</si>
  <si>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</si>
  <si>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</si>
  <si>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</si>
  <si>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</si>
  <si>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</si>
  <si>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</si>
  <si>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</si>
  <si>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</si>
  <si>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</si>
  <si>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</si>
  <si>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</si>
  <si>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</si>
  <si>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</si>
  <si>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</si>
  <si>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</si>
  <si>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</si>
  <si>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</si>
  <si>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</si>
  <si>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</si>
  <si>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</si>
  <si>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</si>
  <si>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</si>
  <si>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</si>
  <si>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</si>
  <si>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</si>
  <si>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</si>
  <si>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</si>
  <si>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</si>
  <si>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</si>
  <si>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</si>
  <si>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</si>
  <si>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</si>
  <si>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</si>
  <si>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</si>
  <si>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</si>
  <si>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</si>
  <si>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</si>
  <si>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</si>
  <si>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</si>
  <si>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</si>
  <si>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</si>
  <si>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</si>
  <si>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</si>
  <si>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</si>
  <si>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</si>
  <si>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</si>
  <si>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</si>
  <si>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</si>
  <si>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</si>
  <si>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</si>
  <si>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</si>
  <si>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</si>
  <si>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</si>
  <si>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</si>
  <si>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</si>
  <si>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</si>
  <si>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</si>
  <si>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</si>
  <si>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</si>
  <si>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</si>
  <si>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</si>
  <si>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</si>
  <si>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</si>
  <si>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</si>
  <si>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</si>
  <si>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</si>
  <si>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</si>
  <si>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</si>
  <si>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</si>
  <si>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</si>
  <si>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</si>
  <si>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</si>
  <si>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</si>
  <si>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</si>
  <si>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</si>
  <si>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</si>
  <si>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</si>
  <si>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</si>
  <si>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</si>
  <si>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</si>
  <si>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</si>
  <si>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</si>
  <si>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</si>
  <si>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</si>
  <si>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</si>
  <si>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</si>
  <si>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</si>
  <si>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</si>
  <si>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</si>
  <si>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</si>
  <si>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</si>
  <si>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</si>
  <si>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</si>
  <si>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</si>
  <si>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</si>
  <si>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</si>
  <si>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</si>
  <si>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</si>
  <si>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</si>
  <si>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</si>
  <si>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</si>
  <si>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</si>
  <si>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</si>
  <si>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</si>
  <si>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</si>
  <si>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</si>
  <si>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</si>
  <si>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</si>
  <si>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</si>
  <si>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</si>
  <si>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</si>
  <si>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</si>
  <si>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</si>
  <si>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</si>
  <si>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</si>
  <si>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</si>
  <si>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</si>
  <si>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</si>
  <si>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</si>
  <si>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</si>
  <si>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</si>
  <si>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</si>
  <si>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</si>
  <si>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</si>
  <si>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</si>
  <si>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</si>
  <si>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</si>
  <si>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</si>
  <si>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</si>
  <si>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</si>
  <si>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</si>
  <si>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</si>
  <si>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</si>
  <si>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</si>
  <si>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</si>
  <si>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</si>
  <si>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</si>
  <si>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</si>
  <si>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</si>
  <si>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</si>
  <si>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</si>
  <si>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</si>
  <si>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</si>
  <si>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</si>
  <si>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</si>
  <si>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</si>
  <si>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</si>
  <si>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</si>
  <si>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</si>
  <si>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</si>
  <si>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</si>
  <si>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</si>
  <si>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</si>
  <si>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</si>
  <si>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</si>
  <si>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</si>
  <si>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</si>
  <si>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</si>
  <si>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</si>
  <si>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</si>
  <si>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</si>
  <si>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</si>
  <si>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</si>
  <si>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</si>
  <si>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</si>
  <si>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</si>
  <si>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</si>
  <si>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</si>
  <si>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</si>
  <si>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</si>
  <si>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</si>
  <si>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</si>
  <si>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</si>
  <si>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</si>
  <si>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</si>
  <si>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</si>
  <si>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</si>
  <si>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</si>
  <si>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</si>
  <si>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</si>
  <si>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</si>
  <si>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</si>
  <si>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</si>
  <si>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</si>
  <si>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</si>
  <si>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</si>
  <si>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</si>
  <si>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</si>
  <si>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</si>
  <si>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</si>
  <si>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</si>
  <si>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</si>
  <si>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</si>
  <si>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</si>
  <si>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</si>
  <si>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</si>
  <si>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</si>
  <si>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</si>
  <si>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</si>
  <si>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</si>
  <si>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</si>
  <si>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</si>
  <si>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</si>
  <si>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</si>
  <si>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</si>
  <si>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</si>
  <si>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</si>
  <si>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</si>
  <si>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</si>
  <si>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</si>
  <si>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</si>
  <si>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</si>
  <si>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</si>
  <si>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</si>
  <si>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</si>
  <si>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</si>
  <si>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</si>
  <si>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</si>
  <si>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</si>
  <si>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</si>
  <si>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</si>
  <si>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</si>
  <si>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</si>
  <si>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</si>
  <si>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</si>
  <si>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</si>
  <si>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</si>
  <si>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</si>
  <si>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</si>
  <si>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</si>
  <si>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</si>
  <si>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</si>
  <si>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</si>
  <si>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</si>
  <si>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</si>
  <si>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</si>
  <si>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</si>
  <si>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</si>
  <si>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</si>
  <si>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</si>
  <si>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</si>
  <si>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</si>
  <si>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</si>
  <si>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</si>
  <si>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</si>
  <si>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</si>
  <si>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</si>
  <si>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</si>
  <si>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</si>
  <si>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</si>
  <si>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</si>
  <si>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</si>
  <si>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</si>
  <si>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</si>
  <si>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</si>
  <si>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</si>
  <si>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</si>
  <si>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</si>
  <si>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</si>
  <si>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</si>
  <si>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</si>
  <si>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</si>
  <si>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</si>
  <si>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</si>
  <si>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</si>
  <si>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</si>
  <si>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</si>
  <si>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</si>
  <si>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</si>
  <si>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</si>
  <si>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</si>
  <si>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</si>
  <si>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</si>
  <si>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</si>
  <si>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</si>
  <si>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</si>
  <si>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</si>
  <si>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</si>
  <si>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</si>
  <si>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</si>
  <si>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</si>
  <si>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</si>
  <si>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</si>
  <si>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</si>
  <si>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</si>
  <si>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</si>
  <si>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</si>
  <si>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</si>
  <si>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</si>
  <si>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</si>
  <si>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</si>
  <si>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</si>
  <si>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</si>
  <si>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</si>
  <si>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</si>
  <si>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</si>
  <si>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</si>
  <si>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</si>
  <si>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</si>
  <si>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</si>
  <si>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</si>
  <si>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</si>
  <si>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</si>
  <si>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</si>
  <si>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</si>
  <si>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</si>
  <si>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</si>
  <si>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</si>
  <si>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</si>
  <si>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</si>
  <si>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</si>
  <si>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</si>
  <si>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</si>
  <si>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</si>
  <si>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</si>
  <si>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</si>
  <si>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</si>
  <si>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</si>
  <si>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</si>
  <si>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</si>
  <si>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</si>
  <si>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</si>
  <si>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</si>
  <si>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</si>
  <si>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</si>
  <si>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</si>
  <si>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</si>
  <si>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</si>
  <si>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</si>
  <si>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</si>
  <si>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</si>
  <si>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</si>
  <si>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</si>
  <si>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</si>
  <si>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</si>
  <si>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</si>
  <si>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</si>
  <si>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</si>
  <si>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</si>
  <si>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</si>
  <si>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</si>
  <si>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</si>
  <si>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</si>
  <si>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</si>
  <si>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</si>
  <si>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</si>
  <si>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</si>
  <si>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</si>
  <si>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</si>
  <si>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</si>
  <si>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</si>
  <si>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</si>
  <si>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</si>
  <si>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</si>
  <si>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</si>
  <si>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</si>
  <si>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</si>
  <si>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</si>
  <si>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</si>
  <si>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</si>
  <si>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</si>
  <si>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</si>
  <si>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</si>
  <si>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</si>
  <si>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</si>
  <si>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</si>
  <si>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</si>
  <si>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</si>
  <si>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</si>
  <si>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</si>
  <si>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</si>
  <si>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</si>
  <si>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</si>
  <si>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</si>
  <si>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</si>
  <si>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</si>
  <si>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</si>
  <si>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</si>
  <si>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</si>
  <si>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</si>
  <si>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</si>
  <si>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</si>
  <si>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</si>
  <si>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</si>
  <si>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</si>
  <si>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</si>
  <si>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</si>
  <si>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</si>
  <si>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</si>
  <si>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</si>
  <si>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</si>
  <si>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</si>
  <si>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</si>
  <si>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</si>
  <si>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</si>
  <si>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</si>
  <si>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</si>
  <si>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</si>
  <si>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</si>
  <si>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</si>
  <si>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</si>
  <si>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</si>
  <si>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</si>
  <si>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</si>
  <si>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</si>
  <si>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</si>
  <si>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</si>
  <si>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</si>
  <si>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</si>
  <si>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</si>
  <si>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</si>
  <si>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</si>
  <si>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</si>
  <si>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</si>
  <si>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</si>
  <si>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</si>
  <si>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</si>
  <si>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</si>
  <si>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</si>
  <si>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</si>
  <si>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</si>
  <si>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</si>
  <si>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</si>
  <si>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</si>
  <si>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</si>
  <si>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</si>
  <si>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</si>
  <si>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</si>
  <si>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</si>
  <si>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</si>
  <si>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</si>
  <si>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</si>
  <si>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</si>
  <si>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</si>
  <si>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</si>
  <si>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</si>
  <si>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</si>
  <si>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</si>
  <si>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</si>
  <si>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</si>
  <si>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</si>
  <si>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</si>
  <si>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</si>
  <si>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</si>
  <si>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</si>
  <si>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</si>
  <si>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</si>
  <si>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</si>
  <si>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</si>
  <si>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</si>
  <si>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</si>
  <si>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</si>
  <si>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</si>
  <si>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</si>
  <si>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</si>
  <si>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</si>
  <si>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</si>
  <si>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</si>
  <si>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</si>
  <si>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</si>
  <si>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</si>
  <si>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</si>
  <si>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</si>
  <si>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</si>
  <si>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</si>
  <si>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</si>
  <si>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</si>
  <si>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</si>
  <si>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</si>
  <si>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</si>
  <si>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</si>
  <si>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</si>
  <si>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</si>
  <si>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</si>
  <si>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</si>
  <si>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</si>
  <si>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</si>
  <si>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</si>
  <si>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</si>
  <si>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</si>
  <si>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</si>
  <si>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</si>
  <si>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</si>
  <si>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</si>
  <si>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</si>
  <si>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</si>
  <si>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</si>
  <si>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</si>
  <si>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</si>
  <si>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</si>
  <si>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</si>
  <si>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</si>
  <si>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</si>
  <si>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</si>
  <si>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</si>
  <si>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</si>
  <si>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</si>
  <si>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</si>
  <si>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</si>
  <si>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</si>
  <si>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</si>
  <si>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</si>
  <si>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</si>
  <si>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</si>
  <si>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</si>
  <si>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</si>
  <si>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</si>
  <si>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</si>
  <si>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</si>
  <si>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</si>
  <si>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</si>
  <si>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</si>
  <si>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</si>
  <si>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</si>
  <si>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</si>
  <si>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</si>
  <si>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</si>
  <si>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</si>
  <si>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</si>
  <si>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</si>
  <si>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</si>
  <si>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</si>
  <si>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</si>
  <si>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</si>
  <si>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</si>
  <si>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</si>
  <si>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</si>
  <si>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</si>
  <si>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</si>
  <si>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</si>
  <si>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</si>
  <si>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</si>
  <si>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</si>
  <si>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</si>
  <si>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</si>
  <si>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</si>
  <si>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</si>
  <si>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</si>
  <si>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</si>
  <si>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</si>
  <si>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</si>
  <si>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</si>
  <si>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</si>
  <si>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</si>
  <si>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</si>
  <si>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</si>
  <si>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</si>
  <si>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</si>
  <si>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</si>
  <si>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</si>
  <si>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</si>
  <si>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</si>
  <si>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</si>
  <si>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</si>
  <si>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</si>
  <si>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</si>
  <si>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</si>
  <si>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</si>
  <si>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</si>
  <si>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</si>
  <si>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</si>
  <si>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</si>
  <si>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</si>
  <si>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</si>
  <si>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</si>
  <si>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</si>
  <si>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</si>
  <si>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</si>
  <si>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</si>
  <si>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</si>
  <si>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</si>
  <si>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</si>
  <si>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</si>
  <si>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</si>
  <si>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</si>
  <si>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</si>
  <si>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</si>
  <si>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</si>
  <si>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</si>
  <si>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</si>
  <si>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</si>
  <si>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</si>
  <si>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</si>
  <si>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</si>
  <si>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</si>
  <si>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</si>
  <si>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</si>
  <si>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</si>
  <si>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</si>
  <si>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</si>
  <si>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</si>
  <si>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</si>
  <si>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</si>
  <si>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</si>
  <si>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</si>
  <si>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</si>
  <si>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</si>
  <si>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</si>
  <si>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</si>
  <si>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</si>
  <si>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</si>
  <si>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</si>
  <si>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</si>
  <si>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</si>
  <si>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</si>
  <si>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</si>
  <si>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</si>
  <si>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</si>
  <si>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</si>
  <si>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</si>
  <si>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</si>
  <si>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</si>
  <si>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</si>
  <si>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</si>
  <si>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</si>
  <si>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</si>
  <si>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</si>
  <si>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</si>
  <si>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</si>
  <si>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</si>
  <si>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</si>
  <si>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</si>
  <si>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</si>
  <si>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</si>
  <si>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</si>
  <si>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</si>
  <si>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</si>
  <si>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</si>
  <si>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</si>
  <si>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</si>
  <si>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</si>
  <si>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</si>
  <si>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</si>
  <si>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</si>
  <si>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</si>
  <si>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</si>
  <si>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</si>
  <si>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</si>
  <si>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</si>
  <si>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</si>
  <si>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</si>
  <si>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</si>
  <si>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</si>
  <si>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</si>
  <si>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</si>
  <si>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</si>
  <si>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</si>
  <si>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</si>
  <si>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</si>
  <si>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</si>
  <si>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</si>
  <si>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</si>
  <si>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</si>
  <si>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</si>
  <si>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</si>
  <si>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</si>
  <si>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</si>
  <si>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</si>
  <si>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</si>
  <si>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</si>
  <si>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</si>
  <si>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</si>
  <si>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</si>
  <si>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</si>
  <si>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</si>
  <si>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</si>
  <si>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</si>
  <si>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</si>
  <si>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</si>
  <si>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</si>
  <si>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</si>
  <si>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</si>
  <si>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</si>
  <si>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</si>
  <si>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</si>
  <si>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</si>
  <si>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</si>
  <si>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</si>
  <si>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</si>
  <si>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</si>
  <si>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</si>
  <si>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</si>
  <si>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</si>
  <si>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</si>
  <si>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</si>
  <si>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</si>
  <si>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</si>
  <si>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</si>
  <si>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</si>
  <si>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</si>
  <si>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</si>
  <si>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</si>
  <si>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</si>
  <si>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</si>
  <si>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</si>
  <si>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</si>
  <si>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</si>
  <si>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</si>
  <si>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</si>
  <si>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</si>
  <si>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</si>
  <si>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</si>
  <si>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</si>
  <si>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</si>
  <si>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</si>
  <si>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</si>
  <si>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</si>
  <si>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</si>
  <si>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</si>
  <si>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</si>
  <si>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</si>
  <si>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</si>
  <si>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</si>
  <si>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</si>
  <si>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</si>
  <si>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</si>
  <si>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</si>
  <si>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</si>
  <si>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</si>
  <si>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</si>
  <si>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</si>
  <si>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</si>
  <si>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</si>
  <si>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</si>
  <si>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</si>
  <si>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</si>
  <si>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</si>
  <si>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</si>
  <si>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</si>
  <si>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</si>
  <si>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</si>
  <si>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</si>
  <si>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</si>
  <si>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</si>
  <si>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</si>
  <si>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</si>
  <si>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</si>
  <si>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</si>
  <si>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</si>
  <si>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</si>
  <si>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</si>
  <si>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</si>
  <si>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</si>
  <si>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</si>
  <si>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</si>
  <si>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</si>
  <si>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</si>
  <si>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</si>
  <si>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</si>
  <si>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</si>
  <si>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</si>
  <si>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</si>
  <si>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</si>
  <si>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</si>
  <si>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</si>
  <si>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</si>
  <si>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</si>
  <si>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</si>
  <si>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</si>
  <si>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</si>
  <si>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</si>
  <si>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</si>
  <si>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</si>
  <si>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</si>
  <si>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</si>
  <si>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</si>
  <si>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</si>
  <si>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</si>
  <si>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</si>
  <si>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</si>
  <si>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</si>
  <si>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</si>
  <si>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</si>
  <si>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</si>
  <si>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</si>
  <si>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</si>
  <si>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</si>
  <si>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</si>
  <si>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</si>
  <si>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</si>
  <si>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</si>
  <si>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</si>
  <si>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</si>
  <si>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</si>
  <si>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</si>
  <si>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</si>
  <si>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</si>
  <si>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</si>
  <si>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</si>
  <si>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</si>
  <si>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</si>
  <si>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</si>
  <si>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</si>
  <si>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</si>
  <si>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</si>
  <si>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</si>
  <si>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</si>
  <si>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</si>
  <si>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</si>
  <si>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</si>
  <si>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</si>
  <si>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</si>
  <si>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</si>
  <si>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</si>
  <si>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</si>
  <si>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</si>
  <si>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</si>
  <si>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</si>
  <si>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</si>
  <si>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</si>
  <si>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</si>
  <si>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</si>
  <si>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</si>
  <si>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</si>
  <si>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</si>
  <si>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</si>
  <si>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</si>
  <si>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</si>
  <si>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</si>
  <si>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</si>
  <si>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</si>
  <si>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</si>
  <si>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</si>
  <si>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</si>
  <si>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</si>
  <si>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</si>
  <si>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</si>
  <si>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</si>
  <si>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</si>
  <si>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</si>
  <si>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</si>
  <si>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</si>
  <si>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</si>
  <si>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</si>
  <si>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</si>
  <si>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</si>
  <si>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</si>
  <si>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</si>
  <si>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</si>
  <si>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</si>
  <si>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</si>
  <si>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</si>
  <si>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</si>
  <si>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</si>
  <si>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</si>
  <si>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</si>
  <si>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</si>
  <si>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</si>
  <si>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</si>
  <si>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</si>
  <si>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</si>
  <si>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</si>
  <si>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</si>
  <si>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</si>
  <si>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</si>
  <si>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</si>
  <si>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</si>
  <si>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</si>
  <si>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</si>
  <si>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</si>
  <si>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</si>
  <si>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</si>
  <si>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</si>
  <si>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</si>
  <si>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</si>
  <si>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</si>
  <si>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</si>
  <si>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</si>
  <si>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</si>
  <si>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</si>
  <si>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</si>
  <si>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</si>
  <si>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</si>
  <si>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</si>
  <si>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</si>
  <si>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</si>
  <si>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</si>
  <si>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</si>
  <si>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</si>
  <si>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</si>
  <si>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</si>
  <si>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</si>
  <si>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</si>
  <si>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</si>
  <si>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</si>
  <si>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</si>
  <si>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</si>
  <si>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</si>
  <si>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</si>
  <si>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</si>
  <si>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</si>
  <si>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</si>
  <si>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</si>
  <si>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</si>
  <si>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</si>
  <si>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</si>
  <si>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</si>
  <si>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</si>
  <si>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</si>
  <si>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</si>
  <si>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</si>
  <si>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</si>
  <si>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</si>
  <si>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</si>
  <si>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</si>
  <si>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</si>
  <si>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</si>
  <si>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</si>
  <si>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</si>
  <si>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</si>
  <si>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</si>
  <si>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</si>
  <si>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</si>
  <si>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</si>
  <si>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</si>
  <si>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</si>
  <si>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</si>
  <si>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</si>
  <si>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</si>
  <si>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</si>
  <si>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</si>
  <si>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</si>
  <si>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</si>
  <si>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</si>
  <si>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</si>
  <si>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</si>
  <si>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</si>
  <si>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</si>
  <si>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</si>
  <si>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</si>
  <si>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</si>
  <si>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</si>
  <si>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</si>
  <si>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</si>
  <si>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</si>
  <si>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</si>
  <si>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</si>
  <si>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</si>
  <si>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</si>
  <si>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</si>
  <si>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</si>
  <si>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</si>
  <si>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</si>
  <si>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</si>
  <si>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</si>
  <si>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</si>
  <si>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</si>
  <si>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</si>
  <si>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</si>
  <si>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</si>
  <si>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</si>
  <si>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</si>
  <si>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</si>
  <si>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</si>
  <si>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</si>
  <si>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</si>
  <si>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</si>
  <si>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</si>
  <si>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</si>
  <si>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</si>
  <si>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</si>
  <si>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</si>
  <si>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</si>
  <si>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</si>
  <si>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</si>
  <si>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</si>
  <si>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</si>
  <si>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</si>
  <si>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</si>
  <si>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</si>
  <si>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</si>
  <si>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</si>
  <si>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</si>
  <si>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</si>
  <si>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</si>
  <si>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</si>
  <si>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</si>
  <si>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</si>
  <si>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</si>
  <si>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</si>
  <si>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</si>
  <si>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</si>
  <si>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</si>
  <si>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</si>
  <si>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</si>
  <si>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</si>
  <si>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</si>
  <si>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</si>
  <si>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</si>
  <si>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</si>
  <si>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</si>
  <si>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</si>
  <si>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</si>
  <si>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</si>
  <si>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</si>
  <si>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</si>
  <si>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</si>
  <si>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</si>
  <si>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</si>
  <si>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</si>
  <si>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</si>
  <si>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</si>
  <si>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</si>
  <si>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</si>
  <si>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</si>
  <si>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</si>
  <si>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</si>
  <si>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</si>
  <si>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</si>
  <si>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</si>
  <si>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</si>
  <si>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</si>
  <si>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</si>
  <si>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</si>
  <si>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</si>
  <si>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</si>
  <si>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</si>
  <si>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</si>
  <si>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</si>
  <si>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</si>
  <si>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</si>
  <si>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</si>
  <si>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</si>
  <si>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</si>
  <si>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</si>
  <si>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</si>
  <si>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</si>
  <si>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</si>
  <si>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</si>
  <si>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</si>
  <si>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</si>
  <si>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</si>
  <si>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</si>
  <si>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</si>
  <si>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</si>
  <si>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</si>
  <si>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</si>
  <si>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</si>
  <si>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</si>
  <si>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</si>
  <si>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</si>
  <si>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</si>
  <si>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</si>
  <si>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</si>
  <si>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</si>
  <si>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</si>
  <si>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</si>
  <si>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</si>
  <si>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</si>
  <si>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</si>
  <si>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</si>
  <si>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</si>
  <si>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</si>
  <si>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</si>
  <si>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</si>
  <si>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</si>
  <si>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</si>
  <si>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</si>
  <si>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</si>
  <si>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</si>
  <si>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</si>
  <si>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</si>
  <si>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</si>
  <si>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</si>
  <si>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</si>
  <si>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</si>
  <si>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</si>
  <si>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</si>
  <si>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</si>
  <si>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</si>
  <si>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</si>
  <si>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</si>
  <si>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</si>
  <si>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</si>
  <si>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</si>
  <si>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</si>
  <si>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</si>
  <si>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</si>
  <si>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</si>
  <si>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</si>
  <si>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</si>
  <si>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</si>
  <si>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</si>
  <si>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</si>
  <si>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</si>
  <si>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</si>
  <si>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</si>
  <si>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</si>
  <si>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</si>
  <si>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</si>
  <si>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</si>
  <si>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</si>
  <si>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</si>
  <si>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</si>
  <si>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</si>
  <si>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</si>
  <si>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</si>
  <si>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</si>
  <si>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</si>
  <si>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</si>
  <si>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</si>
  <si>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</si>
  <si>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</si>
  <si>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</si>
  <si>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</si>
  <si>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</si>
  <si>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</si>
  <si>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</si>
  <si>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</si>
  <si>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</si>
  <si>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</si>
  <si>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</si>
  <si>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</si>
  <si>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</si>
  <si>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</si>
  <si>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</si>
  <si>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</si>
  <si>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</si>
  <si>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</si>
  <si>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</si>
  <si>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</si>
  <si>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</si>
  <si>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</si>
  <si>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</si>
  <si>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</si>
  <si>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</si>
  <si>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</si>
  <si>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</si>
  <si>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</si>
  <si>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</si>
  <si>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</si>
  <si>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</si>
  <si>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</si>
  <si>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</si>
  <si>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</si>
  <si>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</si>
  <si>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</si>
  <si>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</si>
  <si>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</si>
  <si>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</si>
  <si>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</si>
  <si>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</si>
  <si>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</si>
  <si>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</si>
  <si>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</si>
  <si>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</si>
  <si>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</si>
  <si>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</si>
  <si>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</si>
  <si>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</si>
  <si>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</si>
  <si>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</si>
  <si>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</si>
  <si>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</si>
  <si>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</si>
  <si>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</si>
  <si>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</si>
  <si>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</si>
  <si>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</si>
  <si>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</si>
  <si>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</si>
  <si>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</si>
  <si>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</si>
  <si>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</si>
  <si>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</si>
  <si>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</si>
  <si>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</si>
  <si>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</si>
  <si>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</si>
  <si>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</si>
  <si>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</si>
  <si>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</si>
  <si>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</si>
  <si>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</si>
  <si>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</si>
  <si>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</si>
  <si>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</si>
  <si>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</si>
  <si>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</si>
  <si>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</si>
  <si>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</si>
  <si>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</si>
  <si>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</si>
  <si>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</si>
  <si>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</si>
  <si>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</si>
  <si>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</si>
  <si>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</si>
  <si>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</si>
  <si>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</si>
  <si>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</si>
  <si>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</si>
  <si>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</si>
  <si>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</si>
  <si>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</si>
  <si>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</si>
  <si>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</si>
  <si>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</si>
  <si>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</si>
  <si>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</si>
  <si>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</si>
  <si>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</si>
  <si>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</si>
  <si>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</si>
  <si>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</si>
  <si>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</si>
  <si>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</si>
  <si>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</si>
  <si>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</si>
  <si>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</si>
  <si>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</si>
  <si>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</si>
  <si>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</si>
  <si>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</si>
  <si>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</si>
  <si>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</si>
  <si>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</si>
  <si>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</si>
  <si>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</si>
  <si>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</si>
  <si>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</si>
  <si>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</si>
  <si>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</si>
  <si>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</si>
  <si>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</si>
  <si>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</si>
  <si>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</si>
  <si>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</si>
  <si>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</si>
  <si>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</si>
  <si>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</si>
  <si>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</si>
  <si>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</si>
  <si>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</si>
  <si>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</si>
  <si>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</si>
  <si>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</si>
  <si>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</si>
  <si>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</si>
  <si>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</si>
  <si>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</si>
  <si>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</si>
  <si>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</si>
  <si>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</si>
  <si>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</si>
  <si>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</si>
  <si>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</si>
  <si>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</si>
  <si>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</si>
  <si>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</si>
  <si>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</si>
  <si>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</si>
  <si>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</si>
  <si>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</si>
  <si>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</si>
  <si>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</si>
  <si>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</si>
  <si>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</si>
  <si>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</si>
  <si>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</si>
  <si>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</si>
  <si>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</si>
  <si>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</si>
  <si>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</si>
  <si>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</si>
  <si>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</si>
  <si>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</si>
  <si>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</si>
  <si>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</si>
  <si>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</si>
  <si>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</si>
  <si>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</si>
  <si>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</si>
  <si>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</si>
  <si>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</si>
  <si>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</si>
  <si>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</si>
  <si>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</si>
  <si>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</si>
  <si>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</si>
  <si>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</si>
  <si>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</si>
  <si>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</si>
  <si>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</si>
  <si>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</si>
  <si>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</si>
  <si>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</si>
  <si>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</si>
  <si>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</si>
  <si>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</si>
  <si>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</si>
  <si>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</si>
  <si>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</si>
  <si>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</si>
  <si>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</si>
  <si>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</si>
  <si>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</si>
  <si>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</si>
  <si>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</si>
  <si>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</si>
  <si>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</si>
  <si>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</si>
  <si>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</si>
  <si>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</si>
  <si>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</si>
  <si>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</si>
  <si>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</si>
  <si>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</si>
  <si>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</si>
  <si>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</si>
  <si>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</si>
  <si>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</si>
  <si>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</si>
  <si>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</si>
  <si>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</si>
  <si>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</si>
  <si>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</si>
  <si>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</si>
  <si>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</si>
  <si>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</si>
  <si>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</si>
  <si>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</si>
  <si>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</si>
  <si>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</si>
  <si>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</si>
  <si>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</si>
  <si>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</si>
  <si>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</si>
  <si>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</si>
  <si>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</si>
  <si>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</si>
  <si>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</si>
  <si>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</si>
  <si>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</si>
  <si>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</si>
  <si>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</si>
  <si>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</si>
  <si>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</si>
  <si>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</si>
  <si>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</si>
  <si>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</si>
  <si>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</si>
  <si>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</si>
  <si>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</si>
  <si>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</si>
  <si>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</si>
  <si>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</si>
  <si>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</si>
  <si>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</si>
  <si>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</si>
  <si>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</si>
  <si>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</si>
  <si>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</si>
  <si>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</si>
  <si>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</si>
  <si>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</si>
  <si>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</si>
  <si>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</si>
  <si>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</si>
  <si>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</si>
  <si>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</si>
  <si>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</si>
  <si>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</si>
  <si>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</si>
  <si>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</si>
  <si>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</si>
  <si>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</si>
  <si>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</si>
  <si>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</si>
  <si>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</si>
  <si>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</si>
  <si>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</si>
  <si>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</si>
  <si>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</si>
  <si>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</si>
  <si>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</si>
  <si>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</si>
  <si>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</si>
  <si>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</si>
  <si>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</si>
  <si>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</si>
  <si>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</si>
  <si>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</si>
  <si>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</si>
  <si>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</si>
  <si>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</si>
  <si>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</si>
  <si>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</si>
  <si>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</si>
  <si>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</si>
  <si>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</si>
  <si>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</si>
  <si>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</si>
  <si>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</si>
  <si>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</si>
  <si>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</si>
  <si>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</si>
  <si>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</si>
  <si>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</si>
  <si>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</si>
  <si>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</si>
  <si>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</si>
  <si>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</si>
  <si>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</si>
  <si>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</si>
  <si>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</si>
  <si>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</si>
  <si>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</si>
  <si>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</si>
  <si>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</si>
  <si>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</si>
  <si>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</si>
  <si>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</si>
  <si>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</si>
  <si>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</si>
  <si>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</si>
  <si>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</si>
  <si>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</si>
  <si>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</si>
  <si>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</si>
  <si>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</si>
  <si>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</si>
  <si>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</si>
  <si>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</si>
  <si>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</si>
  <si>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</si>
  <si>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</si>
  <si>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</si>
  <si>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</si>
  <si>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</si>
  <si>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</si>
  <si>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</si>
  <si>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</si>
  <si>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</si>
  <si>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</si>
  <si>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</si>
  <si>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</si>
  <si>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</si>
  <si>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</si>
  <si>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</si>
  <si>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</si>
  <si>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</si>
  <si>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</si>
  <si>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</si>
  <si>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</si>
  <si>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</si>
  <si>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</si>
  <si>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</si>
  <si>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</si>
  <si>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</si>
  <si>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</si>
  <si>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</si>
  <si>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</si>
  <si>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</si>
  <si>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</si>
  <si>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</si>
  <si>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</si>
  <si>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</si>
  <si>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</si>
  <si>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</si>
  <si>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</si>
  <si>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</si>
  <si>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</si>
  <si>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</si>
  <si>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</si>
  <si>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</si>
  <si>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</si>
  <si>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</si>
  <si>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</si>
  <si>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</si>
  <si>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</si>
  <si>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</si>
  <si>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</si>
  <si>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</si>
  <si>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</si>
  <si>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</si>
  <si>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</si>
  <si>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</si>
  <si>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</si>
  <si>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</si>
  <si>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</si>
  <si>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</si>
  <si>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</si>
  <si>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</si>
  <si>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</si>
  <si>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</si>
  <si>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</si>
  <si>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</si>
  <si>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</si>
  <si>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</si>
  <si>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</si>
  <si>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</si>
  <si>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</si>
  <si>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</si>
  <si>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</si>
  <si>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</si>
  <si>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</si>
  <si>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</si>
  <si>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</si>
  <si>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</si>
  <si>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</si>
  <si>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</si>
  <si>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</si>
  <si>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</si>
  <si>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</si>
  <si>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</si>
  <si>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</si>
  <si>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</si>
  <si>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</si>
  <si>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</si>
  <si>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</si>
  <si>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</si>
  <si>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</si>
  <si>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</si>
  <si>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</si>
  <si>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</si>
  <si>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</si>
  <si>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</si>
  <si>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</si>
  <si>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</si>
  <si>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</si>
  <si>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</si>
  <si>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</si>
  <si>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</si>
  <si>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</si>
  <si>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</si>
  <si>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</si>
  <si>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</si>
  <si>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</si>
  <si>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</si>
  <si>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</si>
  <si>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</si>
  <si>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</si>
  <si>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</si>
  <si>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</si>
  <si>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</si>
  <si>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</si>
  <si>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</si>
  <si>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</si>
  <si>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</si>
  <si>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</si>
  <si>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</si>
  <si>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</si>
  <si>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</si>
  <si>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</si>
  <si>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</si>
  <si>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</si>
  <si>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</si>
  <si>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</si>
  <si>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</si>
  <si>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</si>
  <si>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</si>
  <si>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</si>
  <si>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</si>
  <si>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</si>
  <si>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</si>
  <si>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</si>
  <si>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</si>
  <si>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</si>
  <si>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</si>
  <si>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</si>
  <si>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</si>
  <si>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</si>
  <si>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</si>
  <si>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</si>
  <si>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</si>
  <si>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</si>
  <si>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</si>
  <si>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</si>
  <si>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</si>
  <si>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</si>
  <si>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</si>
  <si>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</si>
  <si>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</si>
  <si>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</si>
  <si>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</si>
  <si>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</si>
  <si>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</si>
  <si>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</si>
  <si>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</si>
  <si>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</si>
  <si>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</si>
  <si>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</si>
  <si>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</si>
  <si>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</si>
  <si>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</si>
  <si>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</si>
  <si>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</si>
  <si>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</si>
  <si>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</si>
  <si>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</si>
  <si>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</si>
  <si>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</si>
  <si>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</si>
  <si>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</si>
  <si>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</si>
  <si>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</si>
  <si>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</si>
  <si>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</si>
  <si>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</si>
  <si>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</si>
  <si>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</si>
  <si>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</si>
  <si>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</si>
  <si>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</si>
  <si>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</si>
  <si>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</si>
  <si>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</si>
  <si>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</si>
  <si>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</si>
  <si>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</si>
  <si>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</si>
  <si>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</si>
  <si>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</si>
  <si>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</si>
  <si>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</si>
  <si>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</si>
  <si>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</si>
  <si>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</si>
  <si>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</si>
  <si>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</si>
  <si>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</si>
  <si>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</si>
  <si>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</si>
  <si>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</si>
  <si>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</si>
  <si>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</si>
  <si>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</si>
  <si>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</si>
  <si>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</si>
  <si>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</si>
  <si>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</si>
  <si>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</si>
  <si>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</si>
  <si>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</si>
  <si>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</si>
  <si>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</si>
  <si>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</si>
  <si>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</si>
  <si>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</si>
  <si>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</si>
  <si>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</si>
  <si>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</si>
  <si>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</si>
  <si>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</si>
  <si>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</si>
  <si>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</si>
  <si>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</si>
  <si>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</si>
  <si>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</si>
  <si>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</si>
  <si>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</si>
  <si>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</si>
  <si>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</si>
  <si>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</si>
  <si>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</si>
  <si>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</si>
  <si>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</si>
  <si>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</si>
  <si>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</si>
  <si>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</si>
  <si>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</si>
  <si>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</si>
  <si>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</si>
  <si>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</si>
  <si>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</si>
  <si>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</si>
  <si>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</si>
  <si>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</si>
  <si>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</si>
  <si>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</si>
  <si>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</si>
  <si>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</si>
  <si>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</si>
  <si>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</si>
  <si>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</si>
  <si>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</si>
  <si>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</si>
  <si>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</si>
  <si>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</si>
  <si>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</si>
  <si>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</si>
  <si>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</si>
  <si>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</si>
  <si>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</si>
  <si>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</si>
  <si>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</si>
  <si>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</si>
  <si>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</si>
  <si>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</si>
  <si>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</si>
  <si>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</si>
  <si>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</si>
  <si>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</si>
  <si>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</si>
  <si>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</si>
  <si>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</si>
  <si>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</si>
  <si>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</si>
  <si>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</si>
  <si>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</si>
  <si>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</si>
  <si>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</si>
  <si>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</si>
  <si>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</si>
  <si>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</si>
  <si>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</si>
  <si>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</si>
  <si>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</si>
  <si>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</si>
  <si>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</si>
  <si>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</si>
  <si>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</si>
  <si>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</si>
  <si>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</si>
  <si>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</si>
  <si>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</si>
  <si>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</si>
  <si>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</si>
  <si>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</si>
  <si>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</si>
  <si>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</si>
  <si>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</si>
  <si>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</si>
  <si>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</si>
  <si>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</si>
  <si>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</si>
  <si>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</si>
  <si>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</si>
  <si>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</si>
  <si>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</si>
  <si>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</si>
  <si>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</si>
  <si>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</si>
  <si>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</si>
  <si>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</si>
  <si>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</si>
  <si>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</si>
  <si>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</si>
  <si>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</si>
  <si>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</si>
  <si>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</si>
  <si>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</si>
  <si>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</si>
  <si>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</si>
  <si>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</si>
  <si>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</si>
  <si>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</si>
  <si>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</si>
  <si>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</si>
  <si>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</si>
  <si>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</si>
  <si>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</si>
  <si>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</si>
  <si>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</si>
  <si>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</si>
  <si>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</si>
  <si>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</si>
  <si>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</si>
  <si>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</si>
  <si>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</si>
  <si>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</si>
  <si>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</si>
  <si>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</si>
  <si>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</si>
  <si>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</si>
  <si>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</si>
  <si>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</si>
  <si>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</si>
  <si>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</si>
  <si>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</si>
  <si>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</si>
  <si>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</si>
  <si>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</si>
  <si>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</si>
  <si>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</si>
  <si>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</si>
  <si>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</si>
  <si>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</si>
  <si>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</si>
  <si>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</si>
  <si>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</si>
  <si>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</si>
  <si>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</si>
  <si>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</si>
  <si>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</si>
  <si>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</si>
  <si>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</si>
  <si>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</si>
  <si>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</si>
  <si>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</si>
  <si>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</si>
  <si>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</si>
  <si>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</si>
  <si>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</si>
  <si>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</si>
  <si>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</si>
  <si>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</si>
  <si>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</si>
  <si>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</si>
  <si>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</si>
  <si>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</si>
  <si>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</si>
  <si>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</si>
  <si>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</si>
  <si>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</si>
  <si>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</si>
  <si>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</si>
  <si>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</si>
  <si>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</si>
  <si>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</si>
  <si>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</si>
  <si>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</si>
  <si>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</si>
  <si>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</si>
  <si>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</si>
  <si>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</si>
  <si>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</si>
  <si>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</si>
  <si>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</si>
  <si>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</si>
  <si>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</si>
  <si>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</si>
  <si>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</si>
  <si>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</si>
  <si>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</si>
  <si>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</si>
  <si>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</si>
  <si>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</si>
  <si>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</si>
  <si>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</si>
  <si>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</si>
  <si>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</si>
  <si>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</si>
  <si>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</si>
  <si>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</si>
  <si>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</si>
  <si>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</si>
  <si>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</si>
  <si>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</si>
  <si>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</si>
  <si>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</si>
  <si>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</si>
  <si>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</si>
  <si>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</si>
  <si>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</si>
  <si>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</si>
  <si>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</si>
  <si>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</si>
  <si>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</si>
  <si>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</si>
  <si>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</si>
  <si>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</si>
  <si>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</si>
  <si>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</si>
  <si>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</si>
  <si>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</si>
  <si>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</si>
  <si>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</si>
  <si>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</si>
  <si>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</si>
  <si>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</si>
  <si>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</si>
  <si>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</si>
  <si>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</si>
  <si>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</si>
  <si>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</si>
  <si>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</si>
  <si>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</si>
  <si>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</si>
  <si>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</si>
  <si>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</si>
  <si>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</si>
  <si>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</si>
  <si>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</si>
  <si>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</si>
  <si>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</si>
  <si>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</si>
  <si>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</si>
  <si>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</si>
  <si>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</si>
  <si>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</si>
  <si>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</si>
  <si>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</si>
  <si>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</si>
  <si>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</si>
  <si>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</si>
  <si>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</si>
  <si>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</si>
  <si>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</si>
  <si>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</si>
  <si>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</si>
  <si>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</si>
  <si>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</si>
  <si>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</si>
  <si>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</si>
  <si>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</si>
  <si>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</si>
  <si>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</si>
  <si>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</si>
  <si>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</si>
  <si>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</si>
  <si>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</si>
  <si>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</si>
  <si>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</si>
  <si>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</si>
  <si>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</si>
  <si>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</si>
  <si>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</si>
  <si>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</si>
  <si>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</si>
  <si>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</si>
  <si>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</si>
  <si>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</si>
  <si>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</si>
  <si>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</si>
  <si>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</si>
  <si>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</si>
  <si>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</si>
  <si>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</si>
  <si>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</si>
  <si>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</si>
  <si>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</si>
  <si>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</si>
  <si>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</si>
  <si>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</si>
  <si>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</si>
  <si>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</si>
  <si>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</si>
  <si>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</si>
  <si>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</si>
  <si>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</si>
  <si>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</si>
  <si>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</si>
  <si>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</si>
  <si>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</si>
  <si>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</si>
  <si>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</si>
  <si>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</si>
  <si>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</si>
  <si>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</si>
  <si>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</si>
  <si>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</si>
  <si>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</si>
  <si>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</si>
  <si>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</si>
  <si>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</si>
  <si>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</si>
  <si>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</si>
  <si>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</si>
  <si>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</si>
  <si>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</si>
  <si>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</si>
  <si>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</si>
  <si>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</si>
  <si>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</si>
  <si>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</si>
  <si>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</si>
  <si>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</si>
  <si>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</si>
  <si>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</si>
  <si>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</si>
  <si>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</si>
  <si>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</si>
  <si>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</si>
  <si>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</si>
  <si>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</si>
  <si>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</si>
  <si>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</si>
  <si>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</si>
  <si>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</si>
  <si>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</si>
  <si>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</si>
  <si>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</si>
  <si>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</si>
  <si>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</si>
  <si>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</si>
  <si>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</si>
  <si>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</si>
  <si>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</si>
  <si>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</si>
  <si>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</si>
  <si>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</si>
  <si>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</si>
  <si>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</si>
  <si>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</si>
  <si>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</si>
  <si>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</si>
  <si>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</si>
  <si>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</si>
  <si>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</si>
  <si>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</si>
  <si>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</si>
  <si>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</si>
  <si>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</si>
  <si>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</si>
  <si>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</si>
  <si>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</si>
  <si>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</si>
  <si>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</si>
  <si>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</si>
  <si>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</si>
  <si>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</si>
  <si>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</si>
  <si>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</si>
  <si>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</si>
  <si>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</si>
  <si>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</si>
  <si>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</si>
  <si>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</si>
  <si>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</si>
  <si>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</si>
  <si>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</si>
  <si>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</si>
  <si>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</si>
  <si>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</si>
  <si>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</si>
  <si>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</si>
  <si>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</si>
  <si>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</si>
  <si>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</si>
  <si>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</si>
  <si>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</si>
  <si>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</si>
  <si>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</si>
  <si>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</si>
  <si>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</si>
  <si>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</si>
  <si>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</si>
  <si>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</si>
  <si>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</si>
  <si>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</si>
  <si>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</si>
  <si>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</si>
  <si>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</si>
  <si>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</si>
  <si>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</si>
  <si>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</si>
  <si>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</si>
  <si>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</si>
  <si>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</si>
  <si>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</si>
  <si>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</si>
  <si>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</si>
  <si>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</si>
  <si>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</si>
  <si>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</si>
  <si>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</si>
  <si>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</si>
  <si>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</si>
  <si>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</si>
  <si>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</si>
  <si>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</si>
  <si>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</si>
  <si>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</si>
  <si>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</si>
  <si>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</si>
  <si>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</si>
  <si>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</si>
  <si>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</si>
  <si>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</si>
  <si>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</si>
  <si>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</si>
  <si>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</si>
  <si>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</si>
  <si>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</si>
  <si>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</si>
  <si>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</si>
  <si>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</si>
  <si>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</si>
  <si>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</si>
  <si>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</si>
  <si>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</si>
  <si>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</si>
  <si>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</si>
  <si>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</si>
  <si>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</si>
  <si>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</si>
  <si>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</si>
  <si>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</si>
  <si>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</si>
  <si>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</si>
  <si>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</si>
  <si>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</si>
  <si>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</si>
  <si>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</si>
  <si>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</si>
  <si>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</si>
  <si>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</si>
  <si>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</si>
  <si>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</si>
  <si>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</si>
  <si>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</si>
  <si>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</si>
  <si>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</si>
  <si>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</si>
  <si>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</si>
  <si>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</si>
  <si>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</si>
  <si>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</si>
  <si>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</si>
  <si>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</si>
  <si>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</si>
  <si>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</si>
  <si>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</si>
  <si>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</si>
  <si>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</si>
  <si>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</si>
  <si>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</si>
  <si>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</si>
  <si>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</si>
  <si>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</si>
  <si>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</si>
  <si>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</si>
  <si>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</si>
  <si>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</si>
  <si>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</si>
  <si>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</si>
  <si>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</si>
  <si>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</si>
  <si>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</si>
  <si>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</si>
  <si>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</si>
  <si>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</si>
  <si>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</si>
  <si>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</si>
  <si>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</si>
  <si>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</si>
  <si>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</si>
  <si>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</si>
  <si>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</si>
  <si>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</si>
  <si>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</si>
  <si>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</si>
  <si>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</si>
  <si>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</si>
  <si>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</si>
  <si>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</si>
  <si>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</si>
  <si>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</si>
  <si>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</si>
  <si>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</si>
  <si>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</si>
  <si>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</si>
  <si>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</si>
  <si>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</si>
  <si>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</si>
  <si>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</si>
  <si>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</si>
  <si>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</si>
  <si>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</si>
  <si>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</si>
  <si>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</si>
  <si>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</si>
  <si>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</si>
  <si>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</si>
  <si>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</si>
  <si>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</si>
  <si>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</si>
  <si>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</si>
  <si>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</si>
  <si>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</si>
  <si>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</si>
  <si>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</si>
  <si>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</si>
  <si>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</si>
  <si>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</si>
  <si>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</si>
  <si>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</si>
  <si>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</si>
  <si>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</si>
  <si>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</si>
  <si>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</si>
  <si>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</si>
  <si>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</si>
  <si>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</si>
  <si>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</si>
  <si>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</si>
  <si>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</si>
  <si>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</si>
  <si>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</si>
  <si>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</si>
  <si>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</si>
  <si>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</si>
  <si>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</si>
  <si>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</si>
  <si>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</si>
  <si>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</si>
  <si>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</si>
  <si>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</si>
  <si>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</si>
  <si>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</si>
  <si>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</si>
  <si>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</si>
  <si>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</si>
  <si>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</si>
  <si>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</si>
  <si>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</si>
  <si>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</si>
  <si>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</si>
  <si>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</si>
  <si>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</si>
  <si>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</si>
  <si>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</si>
  <si>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</si>
  <si>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</si>
  <si>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</si>
  <si>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</si>
  <si>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</si>
  <si>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</si>
  <si>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</si>
  <si>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</si>
  <si>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</si>
  <si>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</si>
  <si>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</si>
  <si>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</si>
  <si>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</si>
  <si>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</si>
  <si>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</si>
  <si>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</si>
  <si>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</si>
  <si>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</si>
  <si>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</si>
  <si>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</si>
  <si>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</si>
  <si>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</si>
  <si>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</si>
  <si>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</si>
  <si>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</si>
  <si>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</si>
  <si>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</si>
  <si>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</si>
  <si>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</si>
  <si>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</si>
  <si>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</si>
  <si>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</si>
  <si>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</si>
  <si>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</si>
  <si>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</si>
  <si>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</si>
  <si>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</si>
  <si>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</si>
  <si>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</si>
  <si>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</si>
  <si>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</si>
  <si>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</si>
  <si>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</si>
  <si>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</si>
  <si>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</si>
  <si>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</si>
  <si>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</si>
  <si>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</si>
  <si>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</si>
  <si>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</si>
  <si>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</si>
  <si>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</si>
  <si>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</si>
  <si>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</si>
  <si>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</si>
  <si>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</si>
  <si>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</si>
  <si>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</si>
  <si>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</si>
  <si>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</si>
  <si>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</si>
  <si>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</si>
  <si>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</si>
  <si>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</si>
  <si>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</si>
  <si>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</si>
  <si>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</si>
  <si>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</si>
  <si>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</si>
  <si>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</si>
  <si>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</si>
  <si>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</si>
  <si>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</si>
  <si>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</si>
  <si>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</si>
  <si>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</si>
  <si>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</si>
  <si>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</si>
  <si>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</si>
  <si>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</si>
  <si>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</si>
  <si>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</si>
  <si>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</si>
  <si>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</si>
  <si>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</si>
  <si>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</si>
  <si>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</si>
  <si>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</si>
  <si>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</si>
  <si>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</si>
  <si>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</si>
  <si>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</si>
  <si>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</si>
  <si>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</si>
  <si>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</si>
  <si>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</si>
  <si>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</si>
  <si>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</si>
  <si>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</si>
  <si>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</si>
  <si>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</si>
  <si>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</si>
  <si>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</si>
  <si>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</si>
  <si>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</si>
  <si>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</si>
  <si>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</si>
  <si>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</si>
  <si>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</si>
  <si>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</si>
  <si>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</si>
  <si>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</si>
  <si>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</si>
  <si>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</si>
  <si>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</si>
  <si>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</si>
  <si>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</si>
  <si>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</si>
  <si>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</si>
  <si>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</si>
  <si>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</si>
  <si>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</si>
  <si>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</si>
  <si>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</si>
  <si>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</si>
  <si>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</si>
  <si>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</si>
  <si>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</si>
  <si>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</si>
  <si>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</si>
  <si>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</si>
  <si>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</si>
  <si>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</si>
  <si>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</si>
  <si>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</si>
  <si>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</si>
  <si>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</si>
  <si>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</si>
  <si>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</si>
  <si>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</si>
  <si>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</si>
  <si>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</si>
  <si>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</si>
  <si>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</si>
  <si>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</si>
  <si>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</si>
  <si>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</si>
  <si>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</si>
  <si>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</si>
  <si>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</si>
  <si>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</si>
  <si>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</si>
  <si>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</si>
  <si>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</si>
  <si>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</si>
  <si>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</si>
  <si>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</si>
  <si>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</si>
  <si>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</si>
  <si>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</si>
  <si>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</si>
  <si>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</si>
  <si>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</si>
  <si>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</si>
  <si>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</si>
  <si>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</si>
  <si>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</si>
  <si>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</si>
  <si>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</si>
  <si>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</si>
  <si>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</si>
  <si>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</si>
  <si>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</si>
  <si>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</si>
  <si>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</si>
  <si>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</si>
  <si>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</si>
  <si>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</si>
  <si>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</si>
  <si>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</si>
  <si>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</si>
  <si>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</si>
  <si>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</si>
  <si>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</si>
  <si>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</si>
  <si>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</si>
  <si>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</si>
  <si>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</si>
  <si>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</si>
  <si>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</si>
  <si>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</si>
  <si>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</si>
  <si>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</si>
  <si>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</si>
  <si>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</si>
  <si>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</si>
  <si>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</si>
  <si>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</si>
  <si>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</si>
  <si>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</si>
  <si>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</si>
  <si>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</si>
  <si>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</si>
  <si>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</si>
  <si>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</si>
  <si>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</si>
  <si>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</si>
  <si>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</si>
  <si>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</si>
  <si>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</si>
  <si>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</si>
  <si>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</si>
  <si>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</si>
  <si>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</si>
  <si>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</si>
  <si>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</si>
  <si>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</si>
  <si>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</si>
  <si>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</si>
  <si>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</si>
  <si>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</si>
  <si>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</si>
  <si>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</si>
  <si>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</si>
  <si>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</si>
  <si>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</si>
  <si>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</si>
  <si>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</si>
  <si>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</si>
  <si>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</si>
  <si>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</si>
  <si>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</si>
  <si>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</si>
  <si>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</si>
  <si>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</si>
  <si>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</si>
  <si>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</si>
  <si>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</si>
  <si>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</si>
  <si>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</si>
  <si>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</si>
  <si>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</si>
  <si>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</si>
  <si>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</si>
  <si>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</si>
  <si>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</si>
  <si>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</si>
  <si>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</si>
  <si>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</si>
  <si>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</si>
  <si>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</si>
  <si>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</si>
  <si>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</si>
  <si>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</si>
  <si>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</si>
  <si>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</si>
  <si>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</si>
  <si>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</si>
  <si>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</si>
  <si>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</si>
  <si>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</si>
  <si>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</si>
  <si>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</si>
  <si>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</si>
  <si>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</si>
  <si>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</si>
  <si>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</si>
  <si>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</si>
  <si>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</si>
  <si>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</si>
  <si>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</si>
  <si>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</si>
  <si>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</si>
  <si>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</si>
  <si>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</si>
  <si>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</si>
  <si>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</si>
  <si>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</si>
  <si>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</si>
  <si>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</si>
  <si>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</si>
  <si>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</si>
  <si>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</si>
  <si>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</si>
  <si>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</si>
  <si>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</si>
  <si>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</si>
  <si>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</si>
  <si>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</si>
  <si>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</si>
  <si>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</si>
  <si>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</si>
  <si>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</si>
  <si>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</si>
  <si>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</si>
  <si>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</si>
  <si>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</si>
  <si>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</si>
  <si>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</si>
  <si>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</si>
  <si>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</si>
  <si>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</si>
  <si>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</si>
  <si>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</si>
  <si>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</si>
  <si>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</si>
  <si>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</si>
  <si>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</si>
  <si>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</si>
  <si>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</si>
  <si>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</si>
  <si>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</si>
  <si>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</si>
  <si>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</si>
  <si>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</si>
  <si>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</si>
  <si>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</si>
  <si>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</si>
  <si>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</si>
  <si>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</si>
  <si>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</si>
  <si>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</si>
  <si>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</si>
  <si>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</si>
  <si>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</si>
  <si>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</si>
  <si>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</si>
  <si>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</si>
  <si>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</si>
  <si>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</si>
  <si>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</si>
  <si>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</si>
  <si>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</si>
  <si>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</si>
  <si>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</si>
  <si>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</si>
  <si>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</si>
  <si>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</si>
  <si>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</si>
  <si>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</si>
  <si>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</si>
  <si>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</si>
  <si>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</si>
  <si>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</si>
  <si>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</si>
  <si>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</si>
  <si>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</si>
  <si>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</si>
  <si>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</si>
  <si>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</si>
  <si>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</si>
  <si>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</si>
  <si>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</si>
  <si>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</si>
  <si>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</si>
  <si>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</si>
  <si>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</si>
  <si>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</si>
  <si>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</si>
  <si>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</si>
  <si>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</si>
  <si>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</si>
  <si>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</si>
  <si>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</si>
  <si>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</si>
  <si>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</si>
  <si>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</si>
  <si>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</si>
  <si>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</si>
  <si>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</si>
  <si>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</si>
  <si>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</si>
  <si>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</si>
  <si>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</si>
  <si>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</si>
  <si>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</si>
  <si>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</si>
  <si>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</si>
  <si>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</si>
  <si>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</si>
  <si>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</si>
  <si>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</si>
  <si>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</si>
  <si>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</si>
  <si>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</si>
  <si>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</si>
  <si>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</si>
  <si>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</si>
  <si>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</si>
  <si>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</si>
  <si>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</si>
  <si>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</si>
  <si>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</si>
  <si>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</si>
  <si>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</si>
  <si>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</si>
  <si>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</si>
  <si>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</si>
  <si>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</si>
  <si>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</si>
  <si>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</si>
  <si>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</si>
  <si>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</si>
  <si>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</si>
  <si>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</si>
  <si>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</si>
  <si>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</si>
  <si>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</si>
  <si>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</si>
  <si>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</si>
  <si>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</si>
  <si>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</si>
  <si>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</si>
  <si>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</si>
  <si>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</si>
  <si>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</si>
  <si>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</si>
  <si>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</si>
  <si>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</si>
  <si>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</si>
  <si>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</si>
  <si>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</si>
  <si>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</si>
  <si>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</si>
  <si>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</si>
  <si>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</si>
  <si>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</si>
  <si>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</si>
  <si>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</si>
  <si>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</si>
  <si>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</si>
  <si>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</si>
  <si>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</si>
  <si>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</si>
  <si>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</si>
  <si>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</si>
  <si>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</si>
  <si>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</si>
  <si>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</si>
  <si>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</si>
  <si>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</si>
  <si>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</si>
  <si>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</si>
  <si>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</si>
  <si>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</si>
  <si>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</si>
  <si>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</si>
  <si>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</si>
  <si>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</si>
  <si>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</si>
  <si>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</si>
  <si>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</si>
  <si>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</si>
  <si>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</si>
  <si>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</si>
  <si>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</si>
  <si>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</si>
  <si>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</si>
  <si>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</si>
  <si>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</si>
  <si>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</si>
  <si>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</si>
  <si>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</si>
  <si>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</si>
  <si>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</si>
  <si>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</si>
  <si>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</si>
  <si>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</si>
  <si>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</si>
  <si>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</si>
  <si>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</si>
  <si>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</si>
  <si>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</si>
  <si>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</si>
  <si>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</si>
  <si>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</si>
  <si>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</si>
  <si>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</si>
  <si>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</si>
  <si>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</si>
  <si>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</si>
  <si>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</si>
  <si>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</si>
  <si>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</si>
  <si>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</si>
  <si>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</si>
  <si>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</si>
  <si>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</si>
  <si>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</si>
  <si>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</si>
  <si>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</si>
  <si>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</si>
  <si>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</si>
  <si>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</si>
  <si>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</si>
  <si>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</si>
  <si>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</si>
  <si>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</si>
  <si>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</si>
  <si>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</si>
  <si>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</si>
  <si>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</si>
  <si>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</si>
  <si>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</si>
  <si>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</si>
  <si>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</si>
  <si>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</si>
  <si>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</si>
  <si>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</si>
  <si>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</si>
  <si>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</si>
  <si>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</si>
  <si>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</si>
  <si>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</si>
  <si>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</si>
  <si>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</si>
  <si>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</si>
  <si>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</si>
  <si>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</si>
  <si>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</si>
  <si>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</si>
  <si>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</si>
  <si>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</si>
  <si>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</si>
  <si>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</si>
  <si>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</si>
  <si>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</si>
  <si>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</si>
  <si>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</si>
  <si>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</si>
  <si>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</si>
  <si>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</si>
  <si>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</si>
  <si>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</si>
  <si>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</si>
  <si>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</si>
  <si>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</si>
  <si>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</si>
  <si>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</si>
  <si>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</si>
  <si>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</si>
  <si>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</si>
  <si>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</si>
  <si>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</si>
  <si>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</si>
  <si>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</si>
  <si>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</si>
  <si>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</si>
  <si>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</si>
  <si>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</si>
  <si>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</si>
  <si>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</si>
  <si>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</si>
  <si>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</si>
  <si>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</si>
  <si>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</si>
  <si>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</si>
  <si>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</si>
  <si>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</si>
  <si>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</si>
  <si>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</si>
  <si>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</si>
  <si>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</si>
  <si>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</si>
  <si>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</si>
  <si>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</si>
  <si>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</si>
  <si>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</si>
  <si>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</si>
  <si>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</si>
  <si>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</si>
  <si>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</si>
  <si>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</si>
  <si>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</si>
  <si>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</si>
  <si>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</si>
  <si>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</si>
  <si>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</si>
  <si>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</si>
  <si>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</si>
  <si>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</si>
  <si>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</si>
  <si>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</si>
  <si>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</si>
  <si>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</si>
  <si>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</si>
  <si>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</si>
  <si>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</si>
  <si>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</si>
  <si>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</si>
  <si>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</si>
  <si>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</si>
  <si>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</si>
  <si>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</si>
  <si>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</si>
  <si>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</si>
  <si>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</si>
  <si>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</si>
  <si>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</si>
  <si>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</si>
  <si>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</si>
  <si>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</si>
  <si>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</si>
  <si>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</si>
  <si>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</si>
  <si>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</si>
  <si>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</si>
  <si>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</si>
  <si>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</si>
  <si>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</si>
  <si>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</si>
  <si>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</si>
  <si>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</si>
  <si>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</si>
  <si>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</si>
  <si>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</si>
  <si>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</si>
  <si>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</si>
  <si>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</si>
  <si>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</si>
  <si>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</si>
  <si>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</si>
  <si>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</si>
  <si>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</si>
  <si>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</si>
  <si>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</si>
  <si>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</si>
  <si>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</si>
  <si>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</si>
  <si>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</si>
  <si>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</si>
  <si>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</si>
  <si>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</si>
  <si>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</si>
  <si>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</si>
  <si>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</si>
  <si>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</si>
  <si>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</si>
  <si>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</si>
  <si>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</si>
  <si>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</si>
  <si>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</si>
  <si>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</si>
  <si>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</si>
  <si>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</si>
  <si>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</si>
  <si>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</si>
  <si>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</si>
  <si>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</si>
  <si>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</si>
  <si>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</si>
  <si>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</si>
  <si>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</si>
  <si>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</si>
  <si>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</si>
  <si>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</si>
  <si>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</si>
  <si>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</si>
  <si>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</si>
  <si>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</si>
  <si>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</si>
  <si>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</si>
  <si>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</si>
  <si>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</si>
  <si>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</si>
  <si>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</si>
  <si>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</si>
  <si>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</si>
  <si>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</si>
  <si>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</si>
  <si>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</si>
  <si>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</si>
  <si>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</si>
  <si>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</si>
  <si>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</si>
  <si>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</si>
  <si>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</si>
  <si>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</si>
  <si>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</si>
  <si>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</si>
  <si>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</si>
  <si>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</si>
  <si>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</si>
  <si>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</si>
  <si>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</si>
  <si>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</si>
  <si>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</si>
  <si>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</si>
  <si>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</si>
  <si>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</si>
  <si>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</si>
  <si>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</si>
  <si>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</si>
  <si>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</si>
  <si>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</si>
  <si>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</si>
  <si>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</si>
  <si>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</si>
  <si>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</si>
  <si>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</si>
  <si>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</si>
  <si>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</si>
  <si>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</si>
  <si>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</si>
  <si>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</si>
  <si>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</si>
  <si>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</si>
  <si>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</si>
  <si>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</si>
  <si>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</si>
  <si>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</si>
  <si>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</si>
  <si>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</si>
  <si>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</si>
  <si>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</si>
  <si>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</si>
  <si>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</si>
  <si>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</si>
  <si>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</si>
  <si>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</si>
  <si>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</si>
  <si>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</si>
  <si>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</si>
  <si>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</si>
  <si>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</si>
  <si>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</si>
  <si>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</si>
  <si>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</si>
  <si>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</si>
  <si>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</si>
  <si>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</si>
  <si>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</si>
  <si>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</si>
  <si>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</si>
  <si>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</si>
  <si>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</si>
  <si>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</si>
  <si>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</si>
  <si>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</si>
  <si>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</si>
  <si>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</si>
  <si>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</si>
  <si>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</si>
  <si>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</si>
  <si>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</si>
  <si>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</si>
  <si>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</si>
  <si>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</si>
  <si>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</si>
  <si>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</si>
  <si>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</si>
  <si>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</si>
  <si>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</si>
  <si>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</si>
  <si>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</si>
  <si>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</si>
  <si>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</si>
  <si>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</si>
  <si>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</si>
  <si>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</si>
  <si>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</si>
  <si>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</si>
  <si>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</si>
  <si>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</si>
  <si>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</si>
  <si>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</si>
  <si>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</si>
  <si>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</si>
  <si>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</si>
  <si>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</si>
  <si>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</si>
  <si>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</si>
  <si>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</si>
  <si>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</si>
  <si>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</si>
  <si>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</si>
  <si>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</si>
  <si>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</si>
  <si>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</si>
  <si>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</si>
  <si>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</si>
  <si>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</si>
  <si>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</si>
  <si>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</si>
  <si>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</si>
  <si>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</si>
  <si>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</si>
  <si>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</si>
  <si>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</si>
  <si>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</si>
  <si>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</si>
  <si>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</si>
  <si>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</si>
  <si>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</si>
  <si>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</si>
  <si>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</si>
  <si>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</si>
  <si>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</si>
  <si>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</si>
  <si>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</si>
  <si>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</si>
  <si>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</si>
  <si>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</si>
  <si>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</si>
  <si>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</si>
  <si>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</si>
  <si>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</si>
  <si>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</si>
  <si>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</si>
  <si>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</si>
  <si>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</si>
  <si>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</si>
  <si>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</si>
  <si>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</si>
  <si>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</si>
  <si>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</si>
  <si>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</si>
  <si>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</si>
  <si>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</si>
  <si>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</si>
  <si>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</si>
  <si>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</si>
  <si>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</si>
  <si>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</si>
  <si>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</si>
  <si>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</si>
  <si>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</si>
  <si>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</si>
  <si>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</si>
  <si>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</si>
  <si>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</si>
  <si>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</si>
  <si>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</si>
  <si>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</si>
  <si>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</si>
  <si>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</si>
  <si>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</si>
  <si>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</si>
  <si>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</si>
  <si>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</si>
  <si>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</si>
  <si>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</si>
  <si>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</si>
  <si>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</si>
  <si>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</si>
  <si>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</si>
  <si>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</si>
  <si>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</si>
  <si>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</si>
  <si>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</si>
  <si>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</si>
  <si>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</si>
  <si>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</si>
  <si>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</si>
  <si>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</si>
  <si>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</si>
  <si>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</si>
  <si>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</si>
  <si>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</si>
  <si>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</si>
  <si>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</si>
  <si>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</si>
  <si>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</si>
  <si>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</si>
  <si>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</si>
  <si>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</si>
  <si>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</si>
  <si>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</si>
  <si>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</si>
  <si>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</si>
  <si>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</si>
  <si>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</si>
  <si>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</si>
  <si>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</si>
  <si>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</si>
  <si>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</si>
  <si>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</si>
  <si>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</si>
  <si>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</si>
  <si>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</si>
  <si>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</si>
  <si>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</si>
  <si>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</si>
  <si>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</si>
  <si>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</si>
  <si>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</si>
  <si>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</si>
  <si>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</si>
  <si>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</si>
  <si>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</si>
  <si>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</si>
  <si>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</si>
  <si>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</si>
  <si>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</si>
  <si>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</si>
  <si>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</si>
  <si>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</si>
  <si>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</si>
  <si>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</si>
  <si>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</si>
  <si>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</si>
  <si>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</si>
  <si>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</si>
  <si>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</si>
  <si>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</si>
  <si>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</si>
  <si>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</si>
  <si>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</si>
  <si>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</si>
  <si>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</si>
  <si>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</si>
  <si>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</si>
  <si>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</si>
  <si>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</si>
  <si>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</si>
  <si>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</si>
  <si>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</si>
  <si>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</si>
  <si>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</si>
  <si>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</si>
  <si>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</si>
  <si>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</si>
  <si>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</si>
  <si>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</si>
  <si>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</si>
  <si>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</si>
  <si>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</si>
  <si>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</si>
  <si>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</si>
  <si>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</si>
  <si>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</si>
  <si>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</si>
  <si>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</si>
  <si>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</si>
  <si>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</si>
  <si>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</si>
  <si>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</si>
  <si>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</si>
  <si>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</si>
  <si>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</si>
  <si>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</si>
  <si>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</si>
  <si>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</si>
  <si>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</si>
  <si>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</si>
  <si>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</si>
  <si>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</si>
  <si>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</si>
  <si>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</si>
  <si>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</si>
  <si>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</si>
  <si>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</si>
  <si>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</si>
  <si>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</si>
  <si>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</si>
  <si>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</si>
  <si>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</si>
  <si>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</si>
  <si>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</si>
  <si>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</si>
  <si>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</si>
  <si>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</si>
  <si>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</si>
  <si>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</si>
  <si>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</si>
  <si>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</si>
  <si>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</si>
  <si>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</si>
  <si>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</si>
  <si>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</si>
  <si>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</si>
  <si>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</si>
  <si>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</si>
  <si>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</si>
  <si>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</si>
  <si>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</si>
  <si>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</si>
  <si>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</si>
  <si>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</si>
  <si>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</si>
  <si>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</si>
  <si>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</si>
  <si>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</si>
  <si>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</si>
  <si>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</si>
  <si>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</si>
  <si>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</si>
  <si>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</si>
  <si>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</si>
  <si>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</si>
  <si>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</si>
  <si>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</si>
  <si>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</si>
  <si>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</si>
  <si>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</si>
  <si>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</si>
  <si>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</si>
  <si>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</si>
  <si>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</si>
  <si>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</si>
  <si>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</si>
  <si>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</si>
  <si>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</si>
  <si>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</si>
  <si>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</si>
  <si>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</si>
  <si>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</si>
  <si>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</si>
  <si>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</si>
  <si>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</si>
  <si>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</si>
  <si>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</si>
  <si>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</si>
  <si>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</si>
  <si>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</si>
  <si>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</si>
  <si>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</si>
  <si>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</si>
  <si>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</si>
  <si>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</si>
  <si>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</si>
  <si>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</si>
  <si>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</si>
  <si>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</si>
  <si>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</si>
  <si>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</si>
  <si>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</si>
  <si>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</si>
  <si>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</si>
  <si>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</si>
  <si>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</si>
  <si>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</si>
  <si>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</si>
  <si>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</si>
  <si>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</si>
  <si>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</si>
  <si>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</si>
  <si>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</si>
  <si>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</si>
  <si>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</si>
  <si>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</si>
  <si>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</si>
  <si>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</si>
  <si>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</si>
  <si>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</si>
  <si>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</si>
  <si>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</si>
  <si>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</si>
  <si>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</si>
  <si>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</si>
  <si>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</si>
  <si>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</si>
  <si>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</si>
  <si>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</si>
  <si>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</si>
  <si>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</si>
  <si>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</si>
  <si>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</si>
  <si>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</si>
  <si>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</si>
  <si>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</si>
  <si>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</si>
  <si>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</si>
  <si>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</si>
  <si>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</si>
  <si>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</si>
  <si>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</si>
  <si>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</si>
  <si>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</si>
  <si>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</si>
  <si>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</si>
  <si>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</si>
  <si>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</si>
  <si>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</si>
  <si>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</si>
  <si>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</si>
  <si>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</si>
  <si>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</si>
  <si>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</si>
  <si>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</si>
  <si>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</si>
  <si>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</si>
  <si>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</si>
  <si>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</si>
  <si>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</si>
  <si>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</si>
  <si>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</si>
  <si>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</si>
  <si>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</si>
  <si>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</si>
  <si>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</si>
  <si>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</si>
  <si>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</si>
  <si>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</si>
  <si>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</si>
  <si>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</si>
  <si>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</si>
  <si>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</si>
  <si>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</si>
  <si>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</si>
  <si>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</si>
  <si>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</si>
  <si>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</si>
  <si>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</si>
  <si>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</si>
  <si>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</si>
  <si>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</si>
  <si>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</si>
  <si>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</si>
  <si>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</si>
  <si>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</si>
  <si>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</si>
  <si>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</si>
  <si>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</si>
  <si>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</si>
  <si>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</si>
  <si>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</si>
  <si>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</si>
  <si>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</si>
  <si>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</si>
  <si>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</si>
  <si>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</si>
  <si>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</si>
  <si>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</si>
  <si>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</si>
  <si>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</si>
  <si>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</si>
  <si>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</si>
  <si>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</si>
  <si>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</si>
  <si>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</si>
  <si>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</si>
  <si>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</si>
  <si>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</si>
  <si>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</si>
  <si>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</si>
  <si>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</si>
  <si>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</si>
  <si>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</si>
  <si>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</si>
  <si>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</si>
  <si>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</si>
  <si>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</si>
  <si>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</si>
  <si>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</si>
  <si>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</si>
  <si>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</si>
  <si>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</si>
  <si>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</si>
  <si>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</si>
  <si>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</si>
  <si>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</si>
  <si>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</si>
  <si>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</si>
  <si>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</si>
  <si>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</si>
  <si>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</si>
  <si>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</si>
  <si>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</si>
  <si>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</si>
  <si>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</si>
  <si>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</si>
  <si>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</si>
  <si>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</si>
  <si>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</si>
  <si>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</si>
  <si>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</si>
  <si>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</si>
  <si>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</si>
  <si>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</si>
  <si>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</si>
  <si>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</si>
  <si>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</si>
  <si>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</si>
  <si>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</si>
  <si>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</si>
  <si>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</si>
  <si>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</si>
  <si>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</si>
  <si>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</si>
  <si>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</si>
  <si>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</si>
  <si>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</si>
  <si>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</si>
  <si>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</si>
  <si>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</si>
  <si>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</si>
  <si>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</si>
  <si>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</si>
  <si>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</si>
  <si>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</si>
  <si>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</si>
  <si>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</si>
  <si>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</si>
  <si>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</si>
  <si>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</si>
  <si>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</si>
  <si>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</si>
  <si>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</si>
  <si>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</si>
  <si>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</si>
  <si>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</si>
  <si>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</si>
  <si>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</si>
  <si>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</si>
  <si>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</si>
  <si>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</si>
  <si>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</si>
  <si>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</si>
  <si>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</si>
  <si>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</si>
  <si>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</si>
  <si>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</si>
  <si>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</si>
  <si>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</si>
  <si>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</si>
  <si>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</si>
  <si>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</si>
  <si>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</si>
  <si>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</si>
  <si>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</si>
  <si>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</si>
  <si>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</si>
  <si>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</si>
  <si>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</si>
  <si>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</si>
  <si>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</si>
  <si>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</si>
  <si>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</si>
  <si>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</si>
  <si>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</si>
  <si>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</si>
  <si>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</si>
  <si>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</si>
  <si>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</si>
  <si>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</si>
  <si>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</si>
  <si>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</si>
  <si>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</si>
  <si>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</si>
  <si>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</si>
  <si>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</si>
  <si>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</si>
  <si>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</si>
  <si>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</si>
  <si>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</si>
  <si>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</si>
  <si>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</si>
  <si>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</si>
  <si>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</si>
  <si>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</si>
  <si>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</si>
  <si>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</si>
  <si>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</si>
  <si>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</si>
  <si>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</si>
  <si>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</si>
  <si>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</si>
  <si>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</si>
  <si>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</si>
  <si>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</si>
  <si>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</si>
  <si>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</si>
  <si>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</si>
  <si>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</si>
  <si>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</si>
  <si>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</si>
  <si>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</si>
  <si>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</si>
  <si>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</si>
  <si>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</si>
  <si>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</si>
  <si>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</si>
  <si>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</si>
  <si>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</si>
  <si>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</si>
  <si>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</si>
  <si>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</si>
  <si>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</si>
  <si>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</si>
  <si>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</si>
  <si>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</si>
  <si>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</si>
  <si>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</si>
  <si>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</si>
  <si>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</si>
  <si>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</si>
  <si>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</si>
  <si>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</si>
  <si>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</si>
  <si>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</si>
  <si>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</si>
  <si>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</si>
  <si>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</si>
  <si>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</si>
  <si>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</si>
  <si>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</si>
  <si>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</si>
  <si>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</si>
  <si>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</si>
  <si>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</si>
  <si>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</si>
  <si>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</si>
  <si>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</si>
  <si>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</si>
  <si>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</si>
  <si>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</si>
  <si>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</si>
  <si>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</si>
  <si>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</si>
  <si>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</si>
  <si>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</si>
  <si>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</si>
  <si>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</si>
  <si>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</si>
  <si>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</si>
  <si>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</si>
  <si>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</si>
  <si>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</si>
  <si>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</si>
  <si>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</si>
  <si>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</si>
  <si>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</si>
  <si>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</si>
  <si>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</si>
  <si>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</si>
  <si>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</si>
  <si>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</si>
  <si>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</si>
  <si>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</si>
  <si>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</si>
  <si>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</si>
  <si>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</si>
  <si>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</si>
  <si>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</si>
  <si>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</si>
  <si>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</si>
  <si>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</si>
  <si>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</si>
  <si>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</si>
  <si>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</si>
  <si>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</si>
  <si>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</si>
  <si>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</si>
  <si>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</si>
  <si>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</si>
  <si>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</si>
  <si>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</si>
  <si>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</si>
  <si>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</si>
  <si>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</si>
  <si>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</si>
  <si>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</si>
  <si>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</si>
  <si>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</si>
  <si>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</si>
  <si>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</si>
  <si>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</si>
  <si>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</si>
  <si>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</si>
  <si>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</si>
  <si>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</si>
  <si>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</si>
  <si>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</si>
  <si>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</si>
  <si>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</si>
  <si>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</si>
  <si>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</si>
  <si>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</si>
  <si>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</si>
  <si>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</si>
  <si>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</si>
  <si>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</si>
  <si>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</si>
  <si>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</si>
  <si>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</si>
  <si>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</si>
  <si>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</si>
  <si>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</si>
  <si>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</si>
  <si>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</si>
  <si>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</si>
  <si>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</si>
  <si>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</si>
  <si>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</si>
  <si>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</si>
  <si>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</si>
  <si>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</si>
  <si>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</si>
  <si>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</si>
  <si>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</si>
  <si>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</si>
  <si>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</si>
  <si>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</si>
  <si>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</si>
  <si>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</si>
  <si>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</si>
  <si>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</si>
  <si>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</si>
  <si>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</si>
  <si>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</si>
  <si>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</si>
  <si>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</si>
  <si>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</si>
  <si>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</si>
  <si>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</si>
  <si>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</si>
  <si>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</si>
  <si>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</si>
  <si>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</si>
  <si>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</si>
  <si>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</si>
  <si>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</si>
  <si>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</si>
  <si>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</si>
  <si>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</si>
  <si>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</si>
  <si>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</si>
  <si>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</si>
  <si>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</si>
  <si>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</si>
  <si>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</si>
  <si>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</si>
  <si>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</si>
  <si>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</si>
  <si>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</si>
  <si>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</si>
  <si>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</si>
  <si>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</si>
  <si>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</si>
  <si>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</si>
  <si>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</si>
  <si>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</si>
  <si>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</si>
  <si>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</si>
  <si>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</si>
  <si>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</si>
  <si>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</si>
  <si>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</si>
  <si>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</si>
  <si>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</si>
  <si>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</si>
  <si>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</si>
  <si>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</si>
  <si>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</si>
  <si>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</si>
  <si>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</si>
  <si>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</si>
  <si>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</si>
  <si>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</si>
  <si>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</si>
  <si>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</si>
  <si>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</si>
  <si>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</si>
  <si>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</si>
  <si>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</si>
  <si>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</si>
  <si>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</si>
  <si>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</si>
  <si>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</si>
  <si>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</si>
  <si>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</si>
  <si>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</si>
  <si>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</si>
  <si>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</si>
  <si>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</si>
  <si>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</si>
  <si>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</si>
  <si>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</si>
  <si>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</si>
  <si>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</si>
  <si>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</si>
  <si>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</si>
  <si>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</si>
  <si>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</si>
  <si>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</si>
  <si>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</si>
  <si>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</si>
  <si>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</si>
  <si>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</si>
  <si>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</si>
  <si>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</si>
  <si>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</si>
  <si>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</si>
  <si>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</si>
  <si>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</si>
  <si>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</si>
  <si>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</si>
  <si>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</si>
  <si>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</si>
  <si>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</si>
  <si>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</si>
  <si>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</si>
  <si>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</si>
  <si>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</si>
  <si>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</si>
  <si>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</si>
  <si>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</si>
  <si>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</si>
  <si>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</si>
  <si>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</si>
  <si>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</si>
  <si>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</si>
  <si>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</si>
  <si>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</si>
  <si>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</si>
  <si>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</si>
  <si>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</si>
  <si>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</si>
  <si>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</si>
  <si>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</si>
  <si>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</si>
  <si>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</si>
  <si>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</si>
  <si>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</si>
  <si>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</si>
  <si>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</si>
  <si>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</si>
  <si>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</si>
  <si>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</si>
  <si>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</si>
  <si>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</si>
  <si>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</si>
  <si>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</si>
  <si>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</si>
  <si>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</si>
  <si>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</si>
  <si>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</si>
  <si>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</si>
  <si>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</si>
  <si>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</si>
  <si>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</si>
  <si>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</si>
  <si>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</si>
  <si>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</si>
  <si>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</si>
  <si>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</si>
  <si>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</si>
  <si>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</si>
  <si>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</si>
  <si>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</si>
  <si>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</si>
  <si>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</si>
  <si>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</si>
  <si>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</si>
  <si>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</si>
  <si>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</si>
  <si>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</si>
  <si>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</si>
  <si>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</si>
  <si>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</si>
  <si>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</si>
  <si>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</si>
  <si>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</si>
  <si>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</si>
  <si>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</si>
  <si>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</si>
  <si>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</si>
  <si>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</si>
  <si>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</si>
  <si>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</si>
  <si>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</si>
  <si>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</si>
  <si>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</si>
  <si>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</si>
  <si>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</si>
  <si>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</si>
  <si>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</si>
  <si>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</si>
  <si>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</si>
  <si>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</si>
  <si>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</si>
  <si>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</si>
  <si>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</si>
  <si>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</si>
  <si>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</si>
  <si>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</si>
  <si>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</si>
  <si>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</si>
  <si>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</si>
  <si>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</si>
  <si>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</si>
  <si>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</si>
  <si>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</si>
  <si>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</si>
  <si>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</si>
  <si>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</si>
  <si>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</si>
  <si>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</si>
  <si>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</si>
  <si>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</si>
  <si>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</si>
  <si>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</si>
  <si>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</si>
  <si>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</si>
  <si>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</si>
  <si>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</si>
  <si>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</si>
  <si>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</si>
  <si>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</si>
  <si>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</si>
  <si>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</si>
  <si>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</si>
  <si>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</si>
  <si>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</si>
  <si>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</si>
  <si>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</si>
  <si>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</si>
  <si>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</si>
  <si>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</si>
  <si>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</si>
  <si>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</si>
  <si>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</si>
  <si>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</si>
  <si>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</si>
  <si>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</si>
  <si>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</si>
  <si>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</si>
  <si>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</si>
  <si>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</si>
  <si>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</si>
  <si>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</si>
  <si>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</si>
  <si>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</si>
  <si>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</si>
  <si>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</si>
  <si>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</si>
  <si>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</si>
  <si>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</si>
  <si>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</si>
  <si>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</si>
  <si>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</si>
  <si>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</si>
  <si>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</si>
  <si>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</si>
  <si>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</si>
  <si>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</si>
  <si>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</si>
  <si>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</si>
  <si>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</si>
  <si>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</si>
  <si>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</si>
  <si>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</si>
  <si>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</si>
  <si>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</si>
  <si>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</si>
  <si>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</si>
  <si>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</si>
  <si>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</si>
  <si>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</si>
  <si>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</si>
  <si>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</si>
  <si>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</si>
  <si>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</si>
  <si>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</si>
  <si>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</si>
  <si>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</si>
  <si>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</si>
  <si>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</si>
  <si>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</si>
  <si>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</si>
  <si>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</si>
  <si>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</si>
  <si>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</si>
  <si>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</si>
  <si>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</si>
  <si>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</si>
  <si>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</si>
  <si>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</si>
  <si>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</si>
  <si>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</si>
  <si>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</si>
  <si>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</si>
  <si>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</si>
  <si>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</si>
  <si>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</si>
  <si>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</si>
  <si>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</si>
  <si>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</si>
  <si>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</si>
  <si>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</si>
  <si>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</si>
  <si>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</si>
  <si>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</si>
  <si>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</si>
  <si>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</si>
  <si>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</si>
  <si>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</si>
  <si>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</si>
  <si>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</si>
  <si>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</si>
  <si>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</si>
  <si>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</si>
  <si>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</si>
  <si>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</si>
  <si>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</si>
  <si>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</si>
  <si>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</si>
  <si>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</si>
  <si>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</si>
  <si>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</si>
  <si>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</si>
  <si>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</si>
  <si>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</si>
  <si>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</si>
  <si>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</si>
  <si>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</si>
  <si>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</si>
  <si>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</si>
  <si>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</si>
  <si>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</si>
  <si>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</si>
  <si>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</si>
  <si>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</si>
  <si>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</si>
  <si>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</si>
  <si>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</si>
  <si>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</si>
  <si>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</si>
  <si>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</si>
  <si>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</si>
  <si>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</si>
  <si>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</si>
  <si>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</si>
  <si>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</si>
  <si>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</si>
  <si>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</si>
  <si>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</si>
  <si>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</si>
  <si>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</si>
  <si>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</si>
  <si>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</si>
  <si>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</si>
  <si>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</si>
  <si>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</si>
  <si>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</si>
  <si>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</si>
  <si>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</si>
  <si>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</si>
  <si>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</si>
  <si>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</si>
  <si>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</si>
  <si>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</si>
  <si>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</si>
  <si>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</si>
  <si>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</si>
  <si>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</si>
  <si>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</si>
  <si>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</si>
  <si>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</si>
  <si>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</si>
  <si>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</si>
  <si>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</si>
  <si>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</si>
  <si>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</si>
  <si>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</si>
  <si>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</si>
  <si>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</si>
  <si>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</si>
  <si>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</si>
  <si>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</si>
  <si>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</si>
  <si>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</si>
  <si>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</si>
  <si>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</si>
  <si>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</si>
  <si>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</si>
  <si>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</si>
  <si>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</si>
  <si>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</si>
  <si>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</si>
  <si>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</si>
  <si>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</si>
  <si>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</si>
  <si>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</si>
  <si>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</si>
  <si>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</si>
  <si>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</si>
  <si>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</si>
  <si>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</si>
  <si>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</si>
  <si>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</si>
  <si>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</si>
  <si>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</si>
  <si>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</si>
  <si>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</si>
  <si>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</si>
  <si>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</si>
  <si>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</si>
  <si>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</si>
  <si>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</si>
  <si>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</si>
  <si>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</si>
  <si>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</si>
  <si>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</si>
  <si>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</si>
  <si>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</si>
  <si>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</si>
  <si>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</si>
  <si>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</si>
  <si>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</si>
  <si>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</si>
  <si>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</si>
  <si>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</si>
  <si>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</si>
  <si>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</si>
  <si>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</si>
  <si>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</si>
  <si>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</si>
  <si>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</si>
  <si>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</si>
  <si>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</si>
  <si>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</si>
  <si>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</si>
  <si>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</si>
  <si>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</si>
  <si>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</si>
  <si>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</si>
  <si>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</si>
  <si>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</si>
  <si>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</si>
  <si>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</si>
  <si>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</si>
  <si>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</si>
  <si>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</si>
  <si>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</si>
  <si>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</si>
  <si>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</si>
  <si>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</si>
  <si>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</si>
  <si>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</si>
  <si>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</si>
  <si>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</si>
  <si>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</si>
  <si>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</si>
  <si>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</si>
  <si>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</si>
  <si>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</si>
  <si>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</si>
  <si>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</si>
  <si>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</si>
  <si>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</si>
  <si>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</si>
  <si>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</si>
  <si>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</si>
  <si>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</si>
  <si>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</si>
  <si>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</si>
  <si>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</si>
  <si>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</si>
  <si>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</si>
  <si>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</si>
  <si>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</si>
  <si>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</si>
  <si>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</si>
  <si>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</si>
  <si>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</si>
  <si>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</si>
  <si>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</si>
  <si>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</si>
  <si>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</si>
  <si>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</si>
  <si>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</si>
  <si>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</si>
  <si>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</si>
  <si>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</si>
  <si>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</si>
  <si>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</si>
  <si>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</si>
  <si>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</si>
  <si>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</si>
  <si>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</si>
  <si>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</si>
  <si>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</si>
  <si>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</si>
  <si>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</si>
  <si>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</si>
  <si>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</si>
  <si>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</si>
  <si>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</si>
  <si>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</si>
  <si>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</si>
  <si>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</si>
  <si>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</si>
  <si>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</si>
  <si>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</si>
  <si>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</si>
  <si>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</si>
  <si>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</si>
  <si>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</si>
  <si>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</si>
  <si>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</si>
  <si>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</si>
  <si>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</si>
  <si>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</si>
  <si>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</si>
  <si>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</si>
  <si>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</si>
  <si>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</si>
  <si>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</si>
  <si>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</si>
  <si>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</si>
  <si>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</si>
  <si>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</si>
  <si>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</si>
  <si>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</si>
  <si>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</si>
  <si>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</si>
  <si>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</si>
  <si>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</si>
  <si>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</si>
  <si>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</si>
  <si>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</si>
  <si>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</si>
  <si>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</si>
  <si>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</si>
  <si>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</si>
  <si>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</si>
  <si>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</si>
  <si>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</si>
  <si>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</si>
  <si>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</si>
  <si>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</si>
  <si>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</si>
  <si>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</si>
  <si>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</si>
  <si>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</si>
  <si>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</si>
  <si>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</si>
  <si>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</si>
  <si>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</si>
  <si>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</si>
  <si>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</si>
  <si>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</si>
  <si>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</si>
  <si>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</si>
  <si>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</si>
  <si>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</si>
  <si>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</si>
  <si>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</si>
  <si>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</si>
  <si>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</si>
  <si>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</si>
  <si>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</si>
  <si>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</si>
  <si>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</si>
  <si>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</si>
  <si>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</si>
  <si>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</si>
  <si>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</si>
  <si>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</si>
  <si>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</si>
  <si>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</si>
  <si>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</si>
  <si>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</si>
  <si>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</si>
  <si>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</si>
  <si>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</si>
  <si>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</si>
  <si>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</si>
  <si>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</si>
  <si>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</si>
  <si>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</si>
  <si>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</si>
  <si>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</si>
  <si>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</si>
  <si>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</si>
  <si>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</si>
  <si>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</si>
  <si>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</si>
  <si>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</si>
  <si>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</si>
  <si>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</si>
  <si>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</si>
  <si>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</si>
  <si>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</si>
  <si>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</si>
  <si>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</si>
  <si>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</si>
  <si>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</si>
  <si>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</si>
  <si>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</si>
  <si>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</si>
  <si>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</si>
  <si>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</si>
  <si>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</si>
  <si>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</si>
  <si>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</si>
  <si>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</si>
  <si>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</si>
  <si>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</si>
  <si>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</si>
  <si>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</si>
  <si>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</si>
  <si>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</si>
  <si>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</si>
  <si>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</si>
  <si>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</si>
  <si>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</si>
  <si>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</si>
  <si>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</si>
  <si>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</si>
  <si>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</si>
  <si>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</si>
  <si>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</si>
  <si>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</si>
  <si>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</si>
  <si>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</si>
  <si>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</si>
  <si>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</si>
  <si>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</si>
  <si>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</si>
  <si>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</si>
  <si>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</si>
  <si>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</si>
  <si>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</si>
  <si>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</si>
  <si>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</si>
  <si>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</si>
  <si>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</si>
  <si>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</si>
  <si>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</si>
  <si>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</si>
  <si>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</si>
  <si>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</si>
  <si>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</si>
  <si>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</si>
  <si>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</si>
  <si>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</si>
  <si>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</si>
  <si>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</si>
  <si>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</si>
  <si>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</si>
  <si>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</si>
  <si>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</si>
  <si>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</si>
  <si>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</si>
  <si>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</si>
  <si>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</si>
  <si>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</si>
  <si>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</si>
  <si>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</si>
  <si>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</si>
  <si>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</si>
  <si>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</si>
  <si>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</si>
  <si>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</si>
  <si>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</si>
  <si>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</si>
  <si>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</si>
  <si>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</si>
  <si>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</si>
  <si>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</si>
  <si>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</si>
  <si>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</si>
  <si>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</si>
  <si>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</si>
  <si>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</si>
  <si>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</si>
  <si>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</si>
  <si>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</si>
  <si>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</si>
  <si>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</si>
  <si>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</si>
  <si>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</si>
  <si>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</si>
  <si>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</si>
  <si>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</si>
  <si>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</si>
  <si>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</si>
  <si>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</si>
  <si>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</si>
  <si>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</si>
  <si>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</si>
  <si>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</si>
  <si>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</si>
  <si>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</si>
  <si>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</si>
  <si>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</si>
  <si>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</si>
  <si>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</si>
  <si>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</si>
  <si>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</si>
  <si>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</si>
  <si>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</si>
  <si>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</si>
  <si>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</si>
  <si>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</si>
  <si>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</si>
  <si>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</si>
  <si>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</si>
  <si>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</si>
  <si>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</si>
  <si>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</si>
  <si>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</si>
  <si>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</si>
  <si>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</si>
  <si>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</si>
  <si>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</si>
  <si>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</si>
  <si>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</si>
  <si>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</si>
  <si>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</si>
  <si>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</si>
  <si>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</si>
  <si>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</si>
  <si>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</si>
  <si>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</si>
  <si>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</si>
  <si>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</si>
  <si>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</si>
  <si>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</si>
  <si>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</si>
  <si>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</si>
  <si>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</si>
  <si>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</si>
  <si>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</si>
  <si>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</si>
  <si>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</si>
  <si>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</si>
  <si>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</si>
  <si>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</si>
  <si>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</si>
  <si>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</si>
  <si>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</si>
  <si>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</si>
  <si>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</si>
  <si>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</si>
  <si>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</si>
  <si>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</si>
  <si>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</si>
  <si>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</si>
  <si>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</si>
  <si>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</si>
  <si>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</si>
  <si>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</si>
  <si>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</si>
  <si>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</si>
  <si>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</si>
  <si>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</si>
  <si>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</si>
  <si>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</si>
  <si>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</si>
  <si>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</si>
  <si>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</si>
  <si>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</si>
  <si>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</si>
  <si>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</si>
  <si>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</si>
  <si>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</si>
  <si>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</si>
  <si>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</si>
  <si>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</si>
  <si>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</si>
  <si>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</si>
  <si>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</si>
  <si>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</si>
  <si>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</si>
  <si>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</si>
  <si>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</si>
  <si>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</si>
  <si>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</si>
  <si>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</si>
  <si>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</si>
  <si>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</si>
  <si>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</si>
  <si>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</si>
  <si>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</si>
  <si>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</si>
  <si>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</si>
  <si>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</si>
  <si>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</si>
  <si>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</si>
  <si>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</si>
  <si>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</si>
  <si>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</si>
  <si>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</si>
  <si>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</si>
  <si>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</si>
  <si>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</si>
  <si>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</si>
  <si>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</si>
  <si>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</si>
  <si>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</si>
  <si>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</si>
  <si>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</si>
  <si>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</si>
  <si>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</si>
  <si>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</si>
  <si>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</si>
  <si>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</si>
  <si>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</si>
  <si>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</si>
  <si>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</si>
  <si>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</si>
  <si>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</si>
  <si>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</si>
  <si>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</si>
  <si>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</si>
  <si>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</si>
  <si>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</si>
  <si>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</si>
  <si>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</si>
  <si>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</si>
  <si>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</si>
  <si>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</si>
  <si>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</si>
  <si>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</si>
  <si>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</si>
  <si>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</si>
  <si>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</si>
  <si>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</si>
  <si>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</si>
  <si>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</si>
  <si>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</si>
  <si>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</si>
  <si>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</si>
  <si>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</si>
  <si>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</si>
  <si>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</si>
  <si>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</si>
  <si>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</si>
  <si>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</si>
  <si>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</si>
  <si>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</si>
  <si>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</si>
  <si>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</si>
  <si>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</si>
  <si>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</si>
  <si>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</si>
  <si>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</si>
  <si>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</si>
  <si>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</si>
  <si>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</si>
  <si>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</si>
  <si>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</si>
  <si>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</si>
  <si>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</si>
  <si>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</si>
  <si>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</si>
  <si>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</si>
  <si>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</si>
  <si>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</si>
  <si>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</si>
  <si>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</si>
  <si>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</si>
  <si>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</si>
  <si>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</si>
  <si>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</si>
  <si>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</si>
  <si>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</si>
  <si>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</si>
  <si>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</si>
  <si>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</si>
  <si>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</si>
  <si>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</si>
  <si>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</si>
  <si>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</si>
  <si>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</si>
  <si>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</si>
  <si>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</si>
  <si>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</si>
  <si>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</si>
  <si>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</si>
  <si>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</si>
  <si>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</si>
  <si>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</si>
  <si>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</si>
  <si>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</si>
  <si>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</si>
  <si>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</si>
  <si>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</si>
  <si>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</si>
  <si>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</si>
  <si>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</si>
  <si>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</si>
  <si>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</si>
  <si>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</si>
  <si>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</si>
  <si>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</si>
  <si>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</si>
  <si>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</si>
  <si>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</si>
  <si>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</si>
  <si>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</si>
  <si>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</si>
  <si>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</si>
  <si>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</si>
  <si>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</si>
  <si>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</si>
  <si>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</si>
  <si>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</si>
  <si>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</si>
  <si>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</si>
  <si>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</si>
  <si>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</si>
  <si>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</si>
  <si>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</si>
  <si>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</si>
  <si>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</si>
  <si>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</si>
  <si>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</si>
  <si>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</si>
  <si>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</si>
  <si>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</si>
  <si>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</si>
  <si>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</si>
  <si>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</si>
  <si>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</si>
  <si>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</si>
  <si>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</si>
  <si>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</si>
  <si>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</si>
  <si>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</si>
  <si>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</si>
  <si>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</si>
  <si>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</si>
  <si>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</si>
  <si>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</si>
  <si>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</si>
  <si>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</si>
  <si>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</si>
  <si>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</si>
  <si>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</si>
  <si>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</si>
  <si>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</si>
  <si>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</si>
  <si>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</si>
  <si>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</si>
  <si>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</si>
  <si>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</si>
  <si>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</si>
  <si>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</si>
  <si>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</si>
  <si>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</si>
  <si>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</si>
  <si>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</si>
  <si>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</si>
  <si>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</si>
  <si>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</si>
  <si>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</si>
  <si>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</si>
  <si>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</si>
  <si>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</si>
  <si>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</si>
  <si>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</si>
  <si>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</si>
  <si>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</si>
  <si>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</si>
  <si>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</si>
  <si>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</si>
  <si>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</si>
  <si>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</si>
  <si>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</si>
  <si>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</si>
  <si>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</si>
  <si>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</si>
  <si>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</si>
  <si>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</si>
  <si>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</si>
  <si>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</si>
  <si>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</si>
  <si>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</si>
  <si>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</si>
  <si>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</si>
  <si>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</si>
  <si>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</si>
  <si>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</si>
  <si>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</si>
  <si>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</si>
  <si>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</si>
  <si>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</si>
  <si>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</si>
  <si>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</si>
  <si>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</si>
  <si>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</si>
  <si>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</si>
  <si>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</si>
  <si>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</si>
  <si>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</si>
  <si>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</si>
  <si>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</si>
  <si>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</si>
  <si>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</si>
  <si>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</si>
  <si>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</si>
  <si>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</si>
  <si>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</si>
  <si>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</si>
  <si>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</si>
  <si>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</si>
  <si>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</si>
  <si>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</si>
  <si>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</si>
  <si>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</si>
  <si>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</si>
  <si>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</si>
  <si>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</si>
  <si>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</si>
  <si>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</si>
  <si>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</si>
  <si>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</si>
  <si>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</si>
  <si>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</si>
  <si>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</si>
  <si>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</si>
  <si>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</si>
  <si>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</si>
  <si>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</si>
  <si>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</si>
  <si>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</si>
  <si>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</si>
  <si>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</si>
  <si>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</si>
  <si>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</si>
  <si>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</si>
  <si>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</si>
  <si>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</si>
  <si>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</si>
  <si>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</si>
  <si>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</si>
  <si>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</si>
  <si>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</si>
  <si>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</si>
  <si>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</si>
  <si>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</si>
  <si>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</si>
  <si>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</si>
  <si>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</si>
  <si>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</si>
  <si>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</si>
  <si>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</si>
  <si>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</si>
  <si>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</si>
  <si>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</si>
  <si>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</si>
  <si>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</si>
  <si>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</si>
  <si>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</si>
  <si>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</si>
  <si>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</si>
  <si>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</si>
  <si>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</si>
  <si>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</si>
  <si>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</si>
  <si>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</si>
  <si>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</si>
  <si>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</si>
  <si>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</si>
  <si>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</si>
  <si>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</si>
  <si>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</si>
  <si>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</si>
  <si>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</si>
  <si>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</si>
  <si>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</si>
  <si>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</si>
  <si>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</si>
  <si>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</si>
  <si>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</si>
  <si>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</si>
  <si>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</si>
  <si>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</si>
  <si>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</si>
  <si>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</si>
  <si>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</si>
  <si>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</si>
  <si>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</si>
  <si>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</si>
  <si>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</si>
  <si>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</si>
  <si>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</si>
  <si>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</si>
  <si>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</si>
  <si>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</si>
  <si>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</si>
  <si>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</si>
  <si>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</si>
  <si>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</si>
  <si>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</si>
  <si>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</si>
  <si>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</si>
  <si>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</si>
  <si>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</si>
  <si>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</si>
  <si>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</si>
  <si>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</si>
  <si>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</si>
  <si>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</si>
  <si>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</si>
  <si>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</si>
  <si>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</si>
  <si>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</si>
  <si>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</si>
  <si>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</si>
  <si>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</si>
  <si>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</si>
  <si>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</si>
  <si>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</si>
  <si>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</si>
  <si>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</si>
  <si>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</si>
  <si>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</si>
  <si>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</si>
  <si>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</si>
  <si>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</si>
  <si>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</si>
  <si>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</si>
  <si>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</si>
  <si>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</si>
  <si>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</si>
  <si>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</si>
  <si>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</si>
  <si>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</si>
  <si>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</si>
  <si>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</si>
  <si>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</si>
  <si>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</si>
  <si>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</si>
  <si>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</si>
  <si>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</si>
  <si>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</si>
  <si>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</si>
  <si>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</si>
  <si>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</si>
  <si>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</si>
  <si>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</si>
  <si>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</si>
  <si>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</si>
  <si>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</si>
  <si>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</si>
  <si>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</si>
  <si>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</si>
  <si>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</si>
  <si>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</si>
  <si>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</si>
  <si>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</si>
  <si>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</si>
  <si>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</si>
  <si>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</si>
  <si>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</si>
  <si>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</si>
  <si>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</si>
  <si>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</si>
  <si>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</si>
  <si>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</si>
  <si>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</si>
  <si>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</si>
  <si>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</si>
  <si>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</si>
  <si>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</si>
  <si>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</si>
  <si>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</si>
  <si>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</si>
  <si>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</si>
  <si>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</si>
  <si>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</si>
  <si>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</si>
  <si>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</si>
  <si>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</si>
  <si>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</si>
  <si>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</si>
  <si>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</si>
  <si>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</si>
  <si>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</si>
  <si>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</si>
  <si>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</si>
  <si>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</si>
  <si>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</si>
  <si>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</si>
  <si>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</si>
  <si>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</si>
  <si>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</si>
  <si>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</si>
  <si>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</si>
  <si>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</si>
  <si>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</si>
  <si>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</si>
  <si>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</si>
  <si>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</si>
  <si>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</si>
  <si>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</si>
  <si>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</si>
  <si>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</si>
  <si>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</si>
  <si>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</si>
  <si>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</si>
  <si>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</si>
  <si>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</si>
  <si>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</si>
  <si>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</si>
  <si>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</si>
  <si>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</si>
  <si>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</si>
  <si>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</si>
  <si>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</si>
  <si>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</si>
  <si>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</si>
  <si>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</si>
  <si>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</si>
  <si>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</si>
  <si>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</si>
  <si>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</si>
  <si>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</si>
  <si>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</si>
  <si>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</si>
  <si>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</si>
  <si>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</si>
  <si>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</si>
  <si>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</si>
  <si>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</si>
  <si>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</si>
  <si>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</si>
  <si>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</si>
  <si>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</si>
  <si>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</si>
  <si>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</si>
  <si>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</si>
  <si>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</si>
  <si>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</si>
  <si>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</si>
  <si>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</si>
  <si>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</si>
  <si>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</si>
  <si>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</si>
  <si>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</si>
  <si>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</si>
  <si>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</si>
  <si>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</si>
  <si>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</si>
  <si>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</si>
  <si>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</si>
  <si>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</si>
  <si>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</si>
  <si>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</si>
  <si>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</si>
  <si>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</si>
  <si>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</si>
  <si>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</si>
  <si>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</si>
  <si>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</si>
  <si>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</si>
  <si>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</si>
  <si>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</si>
  <si>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</si>
  <si>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</si>
  <si>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</si>
  <si>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</si>
  <si>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</si>
  <si>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</si>
  <si>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</si>
  <si>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</si>
  <si>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</si>
  <si>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</si>
  <si>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</si>
  <si>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</si>
  <si>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</si>
  <si>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</si>
  <si>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</si>
  <si>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</si>
  <si>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</si>
  <si>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</si>
  <si>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</si>
  <si>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</si>
  <si>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</si>
  <si>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</si>
  <si>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</si>
  <si>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</si>
  <si>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</si>
  <si>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</si>
  <si>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</si>
  <si>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</si>
  <si>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</si>
  <si>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</si>
  <si>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</si>
  <si>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</si>
  <si>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</si>
  <si>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</si>
  <si>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</si>
  <si>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</si>
  <si>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</si>
  <si>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</si>
  <si>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</si>
  <si>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</si>
  <si>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</si>
  <si>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</si>
  <si>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</si>
  <si>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</si>
  <si>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</si>
  <si>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</si>
  <si>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</si>
  <si>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</si>
  <si>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</si>
  <si>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</si>
  <si>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</si>
  <si>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</si>
  <si>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</si>
  <si>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</si>
  <si>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</si>
  <si>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</si>
  <si>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</si>
  <si>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</si>
  <si>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</si>
  <si>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</si>
  <si>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</si>
  <si>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</si>
  <si>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</si>
  <si>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</si>
  <si>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</si>
  <si>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</si>
  <si>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</si>
  <si>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</si>
  <si>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</si>
  <si>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</si>
  <si>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</si>
  <si>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</si>
  <si>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</si>
  <si>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</si>
  <si>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</si>
  <si>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</si>
  <si>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</si>
  <si>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</si>
  <si>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</si>
  <si>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</si>
  <si>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</si>
  <si>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</si>
  <si>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</si>
  <si>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</si>
  <si>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</si>
  <si>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</si>
  <si>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</si>
  <si>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</si>
  <si>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</si>
  <si>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</si>
  <si>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</si>
  <si>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</si>
  <si>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</si>
  <si>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</si>
  <si>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</si>
  <si>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</si>
  <si>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</si>
  <si>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</si>
  <si>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</si>
  <si>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</si>
  <si>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</si>
  <si>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</si>
  <si>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</si>
  <si>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</si>
  <si>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</si>
  <si>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</si>
  <si>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</si>
  <si>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</si>
  <si>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</si>
  <si>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</si>
  <si>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</si>
  <si>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</si>
  <si>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</si>
  <si>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</si>
  <si>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</si>
  <si>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</si>
  <si>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</si>
  <si>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</si>
  <si>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</si>
  <si>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</si>
  <si>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</si>
  <si>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</si>
  <si>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</si>
  <si>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</si>
  <si>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</si>
  <si>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</si>
  <si>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</si>
  <si>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</si>
  <si>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</si>
  <si>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</si>
  <si>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</si>
  <si>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</si>
  <si>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</si>
  <si>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</si>
  <si>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</si>
  <si>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</si>
  <si>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</si>
  <si>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</si>
  <si>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</si>
  <si>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</si>
  <si>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</si>
  <si>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</si>
  <si>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</si>
  <si>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</si>
  <si>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</si>
  <si>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</si>
  <si>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</si>
  <si>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</si>
  <si>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</si>
  <si>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</si>
  <si>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</si>
  <si>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</si>
  <si>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</si>
  <si>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</si>
  <si>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</si>
  <si>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</si>
  <si>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</si>
  <si>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</si>
  <si>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</si>
  <si>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</si>
  <si>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</si>
  <si>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</si>
  <si>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</si>
  <si>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</si>
  <si>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</si>
  <si>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</si>
  <si>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</si>
  <si>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</si>
  <si>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</si>
  <si>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</si>
  <si>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</si>
  <si>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</si>
  <si>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</si>
  <si>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</si>
  <si>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</si>
  <si>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</si>
  <si>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</si>
  <si>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</si>
  <si>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</si>
  <si>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</si>
  <si>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</si>
  <si>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</si>
  <si>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</si>
  <si>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</si>
  <si>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</si>
  <si>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</si>
  <si>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</si>
  <si>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</si>
  <si>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</si>
  <si>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</si>
  <si>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</si>
  <si>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</si>
  <si>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</si>
  <si>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</si>
  <si>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</si>
  <si>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</si>
  <si>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</si>
  <si>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</si>
  <si>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</si>
  <si>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</si>
  <si>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</si>
  <si>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</si>
  <si>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</si>
  <si>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</si>
  <si>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</si>
  <si>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</si>
  <si>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</si>
  <si>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</si>
  <si>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</si>
  <si>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</si>
  <si>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</si>
  <si>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</si>
  <si>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</si>
  <si>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</si>
  <si>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</si>
  <si>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</si>
  <si>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</si>
  <si>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</si>
  <si>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</si>
  <si>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</si>
  <si>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</si>
  <si>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</si>
  <si>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</si>
  <si>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</si>
  <si>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</si>
  <si>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</si>
  <si>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</si>
  <si>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</si>
  <si>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</si>
  <si>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</si>
  <si>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</si>
  <si>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</si>
  <si>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</si>
  <si>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</si>
  <si>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</si>
  <si>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</si>
  <si>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</si>
  <si>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</si>
  <si>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</si>
  <si>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</si>
  <si>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</si>
  <si>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</si>
  <si>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</si>
  <si>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</si>
  <si>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</si>
  <si>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</si>
  <si>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</si>
  <si>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</si>
  <si>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</si>
  <si>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</si>
  <si>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</si>
  <si>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</si>
  <si>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</si>
  <si>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</si>
  <si>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</si>
  <si>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</si>
  <si>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</si>
  <si>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</si>
  <si>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</si>
  <si>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</si>
  <si>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</si>
  <si>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</si>
  <si>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</si>
  <si>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</si>
  <si>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</si>
  <si>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</si>
  <si>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</si>
  <si>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</si>
  <si>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</si>
  <si>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</si>
  <si>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</si>
  <si>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</si>
  <si>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</si>
  <si>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</si>
  <si>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</si>
  <si>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</si>
  <si>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</si>
  <si>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</si>
  <si>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</si>
  <si>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</si>
  <si>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</si>
  <si>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</si>
  <si>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</si>
  <si>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</si>
  <si>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</si>
  <si>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</si>
  <si>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</si>
  <si>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</si>
  <si>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</si>
  <si>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</si>
  <si>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</si>
  <si>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</si>
  <si>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</si>
  <si>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</si>
  <si>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</si>
  <si>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</si>
  <si>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</si>
  <si>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</si>
  <si>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</si>
  <si>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</si>
  <si>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</si>
  <si>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</si>
  <si>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</si>
  <si>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</si>
  <si>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</si>
  <si>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</si>
  <si>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</si>
  <si>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</si>
  <si>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</si>
  <si>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</si>
  <si>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</si>
  <si>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</si>
  <si>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</si>
  <si>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</si>
  <si>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</si>
  <si>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</si>
  <si>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</si>
  <si>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</si>
  <si>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</si>
  <si>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</si>
  <si>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</si>
  <si>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</si>
  <si>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</si>
  <si>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</si>
  <si>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</si>
  <si>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</si>
  <si>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</si>
  <si>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</si>
  <si>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</si>
  <si>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</si>
  <si>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</si>
  <si>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</si>
  <si>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</si>
  <si>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</si>
  <si>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</si>
  <si>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</si>
  <si>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</si>
  <si>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</si>
  <si>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</si>
  <si>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</si>
  <si>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</si>
  <si>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</si>
  <si>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</si>
  <si>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</si>
  <si>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</si>
  <si>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</si>
  <si>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</si>
  <si>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</si>
  <si>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</si>
  <si>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</si>
  <si>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</si>
  <si>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</si>
  <si>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</si>
  <si>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</si>
  <si>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</si>
  <si>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</si>
  <si>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</si>
  <si>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</si>
  <si>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</si>
  <si>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</si>
  <si>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</si>
  <si>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</si>
  <si>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</si>
  <si>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</si>
  <si>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</si>
  <si>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</si>
  <si>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</si>
  <si>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</si>
  <si>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</si>
  <si>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</si>
  <si>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</si>
  <si>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</si>
  <si>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</si>
  <si>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</si>
  <si>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</si>
  <si>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</si>
  <si>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</si>
  <si>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</si>
  <si>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</si>
  <si>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</si>
  <si>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</si>
  <si>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</si>
  <si>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</si>
  <si>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</si>
  <si>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</si>
  <si>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</si>
  <si>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</si>
  <si>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</si>
  <si>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</si>
  <si>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</si>
  <si>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</si>
  <si>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</si>
  <si>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</si>
  <si>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</si>
  <si>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</si>
  <si>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</si>
  <si>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</si>
  <si>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</si>
  <si>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</si>
  <si>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</si>
  <si>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</si>
  <si>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</si>
  <si>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</si>
  <si>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</si>
  <si>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</si>
  <si>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</si>
  <si>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</si>
  <si>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</si>
  <si>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</si>
  <si>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</si>
  <si>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</si>
  <si>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</si>
  <si>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</si>
  <si>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</si>
  <si>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</si>
  <si>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</si>
  <si>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</si>
  <si>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</si>
  <si>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</si>
  <si>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</si>
  <si>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</si>
  <si>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</si>
  <si>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</si>
  <si>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</si>
  <si>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</si>
  <si>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</si>
  <si>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</si>
  <si>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</si>
  <si>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</si>
  <si>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</si>
  <si>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</si>
  <si>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</si>
  <si>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</si>
  <si>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</si>
  <si>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</si>
  <si>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</si>
  <si>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</si>
  <si>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</si>
  <si>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</si>
  <si>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</si>
  <si>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</si>
  <si>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</si>
  <si>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</si>
  <si>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</si>
  <si>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</si>
  <si>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</si>
  <si>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</si>
  <si>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</si>
  <si>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</si>
  <si>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</si>
  <si>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</si>
  <si>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</si>
  <si>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</si>
  <si>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</si>
  <si>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</si>
  <si>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</si>
  <si>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</si>
  <si>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</si>
  <si>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</si>
  <si>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</si>
  <si>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</si>
  <si>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</si>
  <si>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</si>
  <si>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</si>
  <si>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</si>
  <si>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</si>
  <si>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</si>
  <si>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</si>
  <si>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</si>
  <si>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</si>
  <si>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</si>
  <si>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</si>
  <si>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</si>
  <si>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</si>
  <si>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</si>
  <si>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</si>
  <si>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</si>
  <si>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</si>
  <si>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</si>
  <si>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</si>
  <si>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</si>
  <si>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</si>
  <si>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</si>
  <si>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</si>
  <si>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</si>
  <si>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</si>
  <si>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</si>
  <si>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</si>
  <si>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</si>
  <si>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</si>
  <si>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</si>
  <si>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</si>
  <si>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</si>
  <si>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</si>
  <si>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</si>
  <si>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</si>
  <si>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</si>
  <si>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</si>
  <si>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</si>
  <si>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</si>
  <si>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</si>
  <si>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</si>
  <si>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</si>
  <si>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</si>
  <si>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</si>
  <si>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</si>
  <si>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</si>
  <si>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</si>
  <si>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</si>
  <si>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</si>
  <si>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</si>
  <si>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</si>
  <si>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</si>
  <si>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</si>
  <si>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</si>
  <si>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</si>
  <si>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</si>
  <si>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</si>
  <si>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</si>
  <si>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</si>
  <si>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</si>
  <si>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</si>
  <si>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</si>
  <si>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</si>
  <si>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</si>
  <si>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</si>
  <si>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</si>
  <si>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</si>
  <si>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</si>
  <si>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</si>
  <si>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</si>
  <si>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</si>
  <si>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</si>
  <si>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</si>
  <si>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</si>
  <si>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</si>
  <si>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</si>
  <si>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</si>
  <si>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</si>
  <si>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</si>
  <si>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</si>
  <si>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</si>
  <si>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</si>
  <si>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</si>
  <si>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</si>
  <si>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</si>
  <si>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</si>
  <si>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</si>
  <si>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</si>
  <si>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</si>
  <si>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</si>
  <si>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</si>
  <si>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</si>
  <si>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</si>
  <si>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</si>
  <si>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</si>
  <si>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</si>
  <si>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</si>
  <si>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</si>
  <si>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</si>
  <si>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</si>
  <si>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</si>
  <si>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</si>
  <si>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</si>
  <si>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</si>
  <si>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</si>
  <si>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</si>
  <si>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</si>
  <si>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</si>
  <si>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</si>
  <si>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</si>
  <si>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</si>
  <si>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</si>
  <si>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</si>
  <si>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</si>
  <si>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</si>
  <si>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</si>
  <si>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</si>
  <si>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</si>
  <si>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</si>
  <si>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</si>
  <si>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</si>
  <si>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</si>
  <si>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</si>
  <si>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</si>
  <si>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</si>
  <si>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</si>
  <si>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</si>
  <si>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</si>
  <si>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</si>
  <si>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</si>
  <si>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</si>
  <si>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</si>
  <si>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</si>
  <si>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</si>
  <si>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</si>
  <si>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</si>
  <si>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</si>
  <si>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</si>
  <si>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</si>
  <si>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</si>
  <si>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</si>
  <si>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</si>
  <si>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</si>
  <si>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</si>
  <si>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</si>
  <si>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</si>
  <si>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</si>
  <si>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</si>
  <si>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</si>
  <si>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</si>
  <si>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</si>
  <si>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</si>
  <si>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</si>
  <si>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</si>
  <si>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</si>
  <si>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</si>
  <si>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</si>
  <si>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</si>
  <si>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</si>
  <si>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</si>
  <si>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</si>
  <si>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</si>
  <si>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</si>
  <si>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</si>
  <si>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</si>
  <si>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</si>
  <si>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</si>
  <si>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</si>
  <si>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</si>
  <si>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</si>
  <si>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</si>
  <si>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</si>
  <si>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</si>
  <si>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</si>
  <si>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</si>
  <si>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</si>
  <si>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</si>
  <si>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</si>
  <si>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</si>
  <si>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</si>
  <si>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</si>
  <si>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</si>
  <si>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</si>
  <si>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</si>
  <si>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</si>
  <si>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</si>
  <si>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</si>
  <si>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</si>
  <si>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</si>
  <si>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</si>
  <si>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</si>
  <si>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</si>
  <si>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</si>
  <si>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</si>
  <si>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</si>
  <si>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</si>
  <si>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</si>
  <si>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</si>
  <si>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</si>
  <si>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</si>
  <si>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</si>
  <si>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</si>
  <si>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</si>
  <si>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</si>
  <si>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</si>
  <si>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</si>
  <si>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</si>
  <si>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</si>
  <si>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</si>
  <si>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</si>
  <si>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</si>
  <si>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</si>
  <si>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</si>
  <si>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</si>
  <si>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</si>
  <si>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</si>
  <si>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</si>
  <si>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</si>
  <si>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</si>
  <si>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</si>
  <si>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</si>
  <si>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</si>
  <si>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</si>
  <si>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</si>
  <si>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</si>
  <si>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</si>
  <si>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</si>
  <si>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</si>
  <si>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</si>
  <si>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</si>
  <si>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</si>
  <si>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</si>
  <si>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</si>
  <si>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</si>
  <si>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</si>
  <si>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</si>
  <si>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</si>
  <si>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</si>
  <si>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</si>
  <si>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</si>
  <si>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</si>
  <si>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</si>
  <si>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</si>
  <si>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</si>
  <si>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</si>
  <si>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</si>
  <si>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</si>
  <si>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</si>
  <si>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</si>
  <si>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</si>
  <si>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</si>
  <si>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</si>
  <si>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</si>
  <si>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</si>
  <si>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</si>
  <si>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</si>
  <si>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</si>
  <si>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</si>
  <si>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</si>
  <si>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</si>
  <si>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</si>
  <si>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</si>
  <si>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</si>
  <si>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</si>
  <si>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</si>
  <si>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</si>
  <si>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</si>
  <si>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</si>
  <si>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</si>
  <si>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</si>
  <si>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</si>
  <si>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</si>
  <si>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</si>
  <si>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</si>
  <si>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</si>
  <si>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</si>
  <si>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</si>
  <si>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</si>
  <si>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</si>
  <si>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</si>
  <si>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</si>
  <si>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</si>
  <si>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</si>
  <si>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</si>
  <si>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</si>
  <si>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</si>
  <si>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</si>
  <si>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</si>
  <si>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</si>
  <si>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</si>
  <si>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</si>
  <si>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</si>
  <si>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</si>
  <si>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</si>
  <si>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</si>
  <si>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</si>
  <si>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</si>
  <si>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</si>
  <si>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</si>
  <si>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</si>
  <si>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</si>
  <si>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</si>
  <si>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</si>
  <si>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</si>
  <si>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</si>
  <si>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</si>
  <si>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</si>
  <si>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</si>
  <si>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</si>
  <si>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</si>
  <si>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</si>
  <si>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</si>
  <si>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</si>
  <si>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</si>
  <si>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</si>
  <si>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</si>
  <si>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</si>
  <si>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</si>
  <si>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</si>
  <si>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</si>
  <si>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</si>
  <si>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</si>
  <si>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</si>
  <si>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</si>
  <si>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</si>
  <si>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</si>
  <si>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</si>
  <si>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</si>
  <si>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</si>
  <si>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</si>
  <si>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</si>
  <si>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</si>
  <si>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</si>
  <si>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</si>
  <si>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</si>
  <si>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</si>
  <si>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</si>
  <si>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</si>
  <si>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</si>
  <si>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</si>
  <si>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</si>
  <si>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</si>
  <si>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</si>
  <si>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</si>
  <si>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</si>
  <si>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</si>
  <si>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</si>
  <si>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</si>
  <si>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</si>
  <si>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</si>
  <si>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</si>
  <si>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</si>
  <si>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</si>
  <si>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</si>
  <si>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</si>
  <si>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</si>
  <si>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</si>
  <si>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</si>
  <si>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</si>
  <si>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</si>
  <si>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</si>
  <si>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</si>
  <si>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</si>
  <si>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</si>
  <si>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</si>
  <si>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</si>
  <si>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</si>
  <si>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</si>
  <si>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</si>
  <si>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</si>
  <si>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</si>
  <si>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</si>
  <si>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</si>
  <si>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</si>
  <si>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</si>
  <si>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</si>
  <si>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</si>
  <si>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</si>
  <si>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</si>
  <si>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</si>
  <si>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</si>
  <si>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</si>
  <si>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</si>
  <si>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</si>
  <si>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</si>
  <si>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</si>
  <si>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</si>
  <si>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</si>
  <si>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</si>
  <si>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</si>
  <si>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</si>
  <si>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</si>
  <si>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</si>
  <si>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</si>
  <si>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</si>
  <si>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</si>
  <si>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</si>
  <si>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</si>
  <si>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</si>
  <si>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</si>
  <si>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</si>
  <si>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</si>
  <si>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</si>
  <si>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</si>
  <si>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</si>
  <si>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</si>
  <si>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</si>
  <si>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</si>
  <si>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</si>
  <si>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</si>
  <si>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</si>
  <si>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</si>
  <si>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</si>
  <si>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</si>
  <si>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</si>
  <si>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</si>
  <si>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</si>
  <si>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</si>
  <si>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</si>
  <si>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</si>
  <si>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</si>
  <si>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</si>
  <si>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</si>
  <si>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</si>
  <si>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</si>
  <si>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</si>
  <si>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</si>
  <si>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</si>
  <si>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</si>
  <si>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</si>
  <si>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</si>
  <si>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</si>
  <si>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</si>
  <si>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</si>
  <si>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</si>
  <si>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</si>
  <si>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</si>
  <si>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</si>
  <si>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</si>
  <si>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</si>
  <si>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</si>
  <si>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</si>
  <si>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</si>
  <si>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</si>
  <si>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</si>
  <si>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</si>
  <si>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</si>
  <si>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</si>
  <si>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</si>
  <si>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</si>
  <si>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</si>
  <si>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</si>
  <si>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</si>
  <si>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</si>
  <si>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</si>
  <si>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</si>
  <si>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</si>
  <si>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</si>
  <si>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</si>
  <si>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</si>
  <si>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</si>
  <si>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</si>
  <si>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</si>
  <si>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</si>
  <si>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</si>
  <si>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</si>
  <si>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</si>
  <si>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</si>
  <si>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</si>
  <si>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</si>
  <si>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</si>
  <si>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</si>
  <si>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</si>
  <si>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</si>
  <si>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</si>
  <si>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</si>
  <si>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</si>
  <si>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</si>
  <si>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</si>
  <si>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</si>
  <si>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</si>
  <si>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</si>
  <si>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</si>
  <si>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</si>
  <si>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</si>
  <si>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</si>
  <si>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</si>
  <si>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</si>
  <si>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</si>
  <si>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</si>
  <si>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</si>
  <si>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</si>
  <si>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</si>
  <si>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</si>
  <si>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</si>
  <si>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</si>
  <si>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</si>
  <si>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</si>
  <si>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</si>
  <si>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</si>
  <si>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</si>
  <si>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</si>
  <si>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</si>
  <si>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</si>
  <si>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</si>
  <si>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</si>
  <si>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</si>
  <si>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</si>
  <si>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</si>
  <si>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</si>
  <si>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</si>
  <si>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</si>
  <si>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</si>
  <si>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</si>
  <si>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</si>
  <si>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</si>
  <si>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</si>
  <si>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</si>
  <si>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</si>
  <si>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</si>
  <si>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</si>
  <si>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</si>
  <si>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</si>
  <si>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</si>
  <si>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</si>
  <si>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</si>
  <si>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</si>
  <si>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</si>
  <si>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</si>
  <si>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</si>
  <si>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</si>
  <si>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</si>
  <si>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</si>
  <si>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</si>
  <si>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</si>
  <si>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</si>
  <si>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</si>
  <si>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</si>
  <si>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</si>
  <si>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</si>
  <si>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</si>
  <si>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</si>
  <si>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</si>
  <si>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</si>
  <si>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</si>
  <si>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</si>
  <si>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</si>
  <si>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</si>
  <si>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</si>
  <si>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</si>
  <si>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</si>
  <si>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</si>
  <si>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</si>
  <si>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</si>
  <si>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</si>
  <si>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</si>
  <si>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</si>
  <si>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</si>
  <si>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</si>
  <si>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</si>
  <si>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</si>
  <si>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</si>
  <si>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</si>
  <si>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</si>
  <si>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</si>
  <si>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</si>
  <si>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</si>
  <si>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</si>
  <si>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</si>
  <si>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</si>
  <si>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</si>
  <si>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</si>
  <si>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</si>
  <si>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</si>
  <si>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</si>
  <si>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</si>
  <si>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</si>
  <si>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</si>
  <si>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</si>
  <si>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</si>
  <si>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</si>
  <si>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</si>
  <si>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</si>
  <si>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</si>
  <si>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</si>
  <si>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</si>
  <si>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</si>
  <si>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</si>
  <si>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</si>
  <si>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</si>
  <si>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</si>
  <si>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</si>
  <si>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</si>
  <si>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</si>
  <si>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</si>
  <si>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</si>
  <si>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</si>
  <si>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</si>
  <si>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</si>
  <si>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</si>
  <si>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</si>
  <si>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</si>
  <si>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</si>
  <si>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</si>
  <si>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</si>
  <si>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</si>
  <si>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</si>
  <si>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</si>
  <si>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</si>
  <si>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</si>
  <si>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</si>
  <si>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</si>
  <si>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</si>
  <si>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</si>
  <si>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</si>
  <si>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</si>
  <si>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</si>
  <si>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</si>
  <si>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</si>
  <si>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</si>
  <si>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</si>
  <si>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</si>
  <si>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</si>
  <si>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</si>
  <si>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</si>
  <si>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</si>
  <si>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</si>
  <si>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</si>
  <si>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</si>
  <si>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</si>
  <si>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</si>
  <si>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</si>
  <si>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</si>
  <si>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</si>
  <si>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</si>
  <si>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</si>
  <si>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</si>
  <si>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</si>
  <si>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</si>
  <si>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</si>
  <si>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</si>
  <si>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</si>
  <si>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</si>
  <si>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</si>
  <si>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</si>
  <si>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</si>
  <si>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</si>
  <si>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</si>
  <si>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</si>
  <si>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</si>
  <si>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</si>
  <si>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</si>
  <si>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</si>
  <si>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</si>
  <si>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</si>
  <si>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</si>
  <si>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</si>
  <si>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</si>
  <si>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</si>
  <si>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</si>
  <si>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</si>
  <si>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</si>
  <si>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</si>
  <si>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</si>
  <si>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</si>
  <si>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</si>
  <si>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</si>
  <si>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</si>
  <si>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</si>
  <si>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</si>
  <si>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</si>
  <si>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</si>
  <si>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</si>
  <si>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</si>
  <si>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</si>
  <si>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</si>
  <si>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</si>
  <si>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</si>
  <si>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</si>
  <si>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</si>
  <si>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</si>
  <si>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</si>
  <si>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</si>
  <si>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</si>
  <si>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</si>
  <si>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</si>
  <si>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</si>
  <si>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</si>
  <si>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</si>
  <si>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</si>
  <si>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</si>
  <si>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</si>
  <si>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</si>
  <si>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</si>
  <si>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</si>
  <si>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</si>
  <si>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</si>
  <si>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</si>
  <si>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</si>
  <si>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</si>
  <si>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</si>
  <si>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</si>
  <si>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</si>
  <si>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</si>
  <si>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</si>
  <si>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</si>
  <si>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</si>
  <si>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</si>
  <si>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</si>
  <si>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</si>
  <si>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</si>
  <si>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</si>
  <si>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</si>
  <si>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</si>
  <si>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</si>
  <si>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</si>
  <si>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</si>
  <si>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</si>
  <si>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</si>
  <si>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</si>
  <si>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</si>
  <si>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</si>
  <si>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</si>
  <si>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</si>
  <si>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</si>
  <si>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</si>
  <si>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</si>
  <si>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</si>
  <si>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</si>
  <si>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</si>
  <si>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</si>
  <si>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</si>
  <si>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</si>
  <si>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</si>
  <si>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</si>
  <si>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</si>
  <si>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</si>
  <si>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</si>
  <si>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</si>
  <si>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</si>
  <si>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</si>
  <si>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</si>
  <si>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</si>
  <si>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</si>
  <si>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</si>
  <si>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</si>
  <si>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</si>
  <si>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</si>
  <si>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</si>
  <si>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</si>
  <si>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</si>
  <si>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</si>
  <si>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</si>
  <si>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</si>
  <si>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</si>
  <si>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</si>
  <si>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</si>
  <si>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</si>
  <si>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</si>
  <si>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</si>
  <si>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</si>
  <si>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</si>
  <si>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</si>
  <si>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</si>
  <si>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</si>
  <si>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</si>
  <si>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</si>
  <si>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</si>
  <si>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</si>
  <si>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</si>
  <si>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</si>
  <si>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</si>
  <si>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</si>
  <si>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</si>
  <si>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</si>
  <si>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</si>
  <si>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</si>
  <si>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</si>
  <si>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</si>
  <si>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</si>
  <si>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</si>
  <si>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</si>
  <si>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</si>
  <si>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</si>
  <si>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</si>
  <si>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</si>
  <si>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</si>
  <si>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</si>
  <si>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</si>
  <si>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</si>
  <si>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</si>
  <si>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</si>
  <si>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</si>
  <si>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</si>
  <si>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</si>
  <si>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</si>
  <si>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</si>
  <si>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</si>
  <si>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</si>
  <si>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</si>
  <si>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</si>
  <si>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</si>
  <si>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</si>
  <si>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</si>
  <si>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</si>
  <si>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</si>
  <si>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</si>
  <si>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</si>
  <si>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</si>
  <si>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</si>
  <si>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</si>
  <si>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</si>
  <si>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</si>
  <si>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</si>
  <si>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</si>
  <si>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</si>
  <si>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</si>
  <si>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</si>
  <si>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</si>
  <si>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</si>
  <si>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</si>
  <si>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</si>
  <si>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</si>
  <si>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</si>
  <si>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</si>
  <si>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</si>
  <si>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</si>
  <si>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</si>
  <si>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</si>
  <si>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</si>
  <si>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</si>
  <si>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</si>
  <si>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</si>
  <si>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</si>
  <si>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</si>
  <si>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</si>
  <si>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</si>
  <si>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</si>
  <si>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</si>
  <si>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</si>
  <si>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</si>
  <si>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</si>
  <si>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</si>
  <si>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</si>
  <si>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</si>
  <si>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</si>
  <si>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</si>
  <si>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</si>
  <si>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</si>
  <si>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</si>
  <si>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</si>
  <si>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</si>
  <si>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</si>
  <si>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</si>
  <si>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</si>
  <si>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</si>
  <si>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</si>
  <si>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</si>
  <si>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</si>
  <si>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</si>
  <si>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</si>
  <si>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</si>
  <si>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</si>
  <si>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</si>
  <si>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</si>
  <si>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</si>
  <si>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</si>
  <si>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</si>
  <si>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</si>
  <si>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</si>
  <si>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</si>
  <si>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</si>
  <si>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</si>
  <si>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</si>
  <si>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</si>
  <si>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</si>
  <si>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</si>
  <si>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</si>
  <si>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</si>
  <si>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</si>
  <si>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</si>
  <si>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</si>
  <si>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</si>
  <si>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</si>
  <si>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</si>
  <si>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</si>
  <si>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</si>
  <si>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</si>
  <si>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</si>
  <si>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</si>
  <si>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</si>
  <si>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</si>
  <si>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</si>
  <si>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</si>
  <si>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</si>
  <si>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</si>
  <si>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</si>
  <si>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</si>
  <si>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</si>
  <si>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</si>
  <si>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</si>
  <si>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</si>
  <si>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</si>
  <si>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</si>
  <si>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</si>
  <si>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</si>
  <si>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</si>
  <si>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</si>
  <si>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</si>
  <si>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</si>
  <si>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</si>
  <si>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</si>
  <si>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</si>
  <si>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</si>
  <si>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</si>
  <si>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</si>
  <si>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</si>
  <si>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</si>
  <si>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</si>
  <si>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</si>
  <si>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</si>
  <si>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</si>
  <si>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</si>
  <si>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</si>
  <si>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</si>
  <si>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</si>
  <si>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</si>
  <si>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</si>
  <si>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</si>
  <si>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</si>
  <si>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</si>
  <si>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</si>
  <si>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</si>
  <si>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</si>
  <si>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</si>
  <si>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</si>
  <si>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</si>
  <si>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</si>
  <si>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</si>
  <si>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</si>
  <si>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</si>
  <si>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</si>
  <si>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</si>
  <si>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</si>
  <si>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</si>
  <si>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</si>
  <si>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</si>
  <si>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</si>
  <si>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</si>
  <si>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</si>
  <si>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</si>
  <si>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</si>
  <si>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</si>
  <si>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</si>
  <si>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</si>
  <si>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</si>
  <si>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</si>
  <si>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</si>
  <si>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</si>
  <si>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</si>
  <si>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</si>
  <si>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</si>
  <si>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</si>
  <si>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</si>
  <si>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</si>
  <si>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</si>
  <si>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</si>
  <si>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</si>
  <si>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</si>
  <si>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</si>
  <si>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</si>
  <si>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</si>
  <si>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</si>
  <si>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</si>
  <si>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</si>
  <si>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</si>
  <si>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</si>
  <si>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</si>
  <si>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</si>
  <si>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</si>
  <si>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</si>
  <si>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</si>
  <si>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</si>
  <si>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</si>
  <si>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</si>
  <si>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</si>
  <si>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</si>
  <si>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</si>
  <si>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</si>
  <si>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</si>
  <si>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</si>
  <si>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</si>
  <si>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</si>
  <si>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</si>
  <si>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</si>
  <si>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</si>
  <si>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</si>
  <si>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</si>
  <si>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</si>
  <si>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</si>
  <si>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</si>
  <si>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</si>
  <si>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</si>
  <si>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</si>
  <si>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</si>
  <si>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</si>
  <si>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</si>
  <si>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</si>
  <si>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</si>
  <si>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</si>
  <si>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</si>
  <si>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</si>
  <si>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</si>
  <si>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</si>
  <si>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</si>
  <si>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</si>
  <si>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</si>
  <si>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</si>
  <si>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</si>
  <si>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</si>
  <si>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</si>
  <si>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</si>
  <si>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</si>
  <si>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</si>
  <si>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</si>
  <si>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</si>
  <si>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</si>
  <si>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</si>
  <si>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</si>
  <si>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</si>
  <si>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</si>
  <si>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</si>
  <si>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</si>
  <si>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</si>
  <si>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</si>
  <si>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</si>
  <si>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</si>
  <si>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</si>
  <si>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</si>
  <si>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</si>
  <si>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</si>
  <si>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</si>
  <si>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</si>
  <si>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</si>
  <si>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</si>
  <si>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</si>
  <si>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</si>
  <si>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</si>
  <si>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</si>
  <si>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</si>
  <si>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</si>
  <si>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</si>
  <si>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</si>
  <si>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</si>
  <si>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</si>
  <si>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</si>
  <si>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</si>
  <si>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</si>
  <si>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</si>
  <si>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</si>
  <si>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</si>
  <si>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</si>
  <si>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</si>
  <si>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</si>
  <si>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</si>
  <si>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</si>
  <si>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</si>
  <si>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</si>
  <si>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</si>
  <si>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</si>
  <si>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</si>
  <si>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</si>
  <si>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</si>
  <si>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</si>
  <si>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</si>
  <si>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</si>
  <si>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</si>
  <si>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</si>
  <si>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</si>
  <si>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</si>
  <si>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</si>
  <si>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</si>
  <si>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</si>
  <si>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</si>
  <si>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</si>
  <si>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</si>
  <si>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</si>
  <si>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</si>
  <si>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</si>
  <si>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</si>
  <si>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</si>
  <si>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</si>
  <si>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</si>
  <si>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</si>
  <si>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</si>
  <si>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</si>
  <si>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</si>
  <si>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</si>
  <si>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</si>
  <si>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</si>
  <si>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</si>
  <si>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</si>
  <si>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</si>
  <si>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</si>
  <si>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</si>
  <si>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</si>
  <si>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</si>
  <si>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</si>
  <si>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</si>
  <si>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</si>
  <si>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</si>
  <si>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</si>
  <si>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</si>
  <si>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</si>
  <si>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</si>
  <si>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</si>
  <si>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</si>
  <si>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</si>
  <si>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</si>
  <si>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</si>
  <si>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</si>
  <si>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</si>
  <si>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</si>
  <si>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</si>
  <si>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</si>
  <si>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</si>
  <si>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</si>
  <si>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</si>
  <si>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</si>
  <si>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</si>
  <si>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</si>
  <si>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</si>
  <si>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</si>
  <si>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</si>
  <si>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</si>
  <si>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</si>
  <si>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</si>
  <si>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</si>
  <si>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</si>
  <si>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</si>
  <si>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</si>
  <si>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</si>
  <si>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</si>
  <si>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</si>
  <si>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</si>
  <si>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</si>
  <si>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</si>
  <si>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</si>
  <si>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</si>
  <si>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</si>
  <si>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</si>
  <si>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</si>
  <si>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</si>
  <si>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</si>
  <si>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</si>
  <si>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</si>
  <si>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</si>
  <si>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</si>
  <si>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</si>
  <si>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</si>
  <si>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</si>
  <si>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</si>
  <si>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</si>
  <si>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</si>
  <si>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</si>
  <si>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</si>
  <si>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</si>
  <si>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</si>
  <si>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</si>
  <si>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</si>
  <si>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</si>
  <si>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</si>
  <si>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</si>
  <si>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</si>
  <si>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</si>
  <si>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</si>
  <si>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</si>
  <si>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</si>
  <si>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</si>
  <si>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</si>
  <si>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</si>
  <si>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</si>
  <si>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</si>
  <si>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</si>
  <si>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</si>
  <si>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Lauren Valdez</t>
  </si>
  <si>
    <t>Project Manager</t>
  </si>
  <si>
    <t>Alyssa Alcantara</t>
  </si>
  <si>
    <t>Senior Associate</t>
  </si>
  <si>
    <t>City Limits</t>
  </si>
  <si>
    <t>Berkadia Commercial Mortgage, LLC</t>
  </si>
  <si>
    <t>Historic Tax Credit</t>
  </si>
  <si>
    <t>Amortizing</t>
  </si>
  <si>
    <t>Redwood Housing Services, LLC</t>
  </si>
  <si>
    <t>PCNA</t>
  </si>
  <si>
    <t>Historical Consultant Report</t>
  </si>
  <si>
    <t>HUD Rent Schedule</t>
  </si>
  <si>
    <t>High-Rise Elevator</t>
  </si>
  <si>
    <t xml:space="preserve">HUD reviews the rents and utility allowances for the property, therefore the HUD prescribed UA is used. Owner pays for all utilities, therefore the UA is $0. </t>
  </si>
  <si>
    <t>Required per DCA QAP</t>
  </si>
  <si>
    <t>Required per historic designation of the property</t>
  </si>
  <si>
    <t>Novogradac</t>
  </si>
  <si>
    <t>Acquisition/Rehab</t>
  </si>
  <si>
    <t>HUD</t>
  </si>
  <si>
    <t>40% of Units at 60% of AMI</t>
  </si>
  <si>
    <t>N/a</t>
  </si>
  <si>
    <t>Resident Services Coordinator Grant</t>
  </si>
  <si>
    <t>Resident Services Coordinator</t>
  </si>
  <si>
    <t>Health Insurance, Payroll Taxes</t>
  </si>
  <si>
    <t>Audit</t>
  </si>
  <si>
    <t>*To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t>
  </si>
  <si>
    <t>Project is elderly/disabled designated by HUD and prior Georgia DCA LURC.</t>
  </si>
  <si>
    <t>CBRE</t>
  </si>
  <si>
    <t>Appraisal not required.</t>
  </si>
  <si>
    <t xml:space="preserve">No appraisal has been included as there is no identity of interest between the buyer and seller. </t>
  </si>
  <si>
    <t>Partner Engineering &amp; Science</t>
  </si>
  <si>
    <t>Substantial Rehab Non-Gutted</t>
  </si>
  <si>
    <t xml:space="preserve">All Environmental Manual Requirements have been met. The property did not require a Phase II and as such, one has not been provided. The project is also not subject to Site and Neighborhood Standards as it not financed with HOME Funds. </t>
  </si>
  <si>
    <t>Warranty Deed</t>
  </si>
  <si>
    <t>The site provides a specified entrance that is legally accessible by paved roads, as shown by the provided drawings and survey.</t>
  </si>
  <si>
    <t>Project proposes rehabilitation only and therefore is exempt from this section.</t>
  </si>
  <si>
    <t>Room</t>
  </si>
  <si>
    <t>On-site laundry</t>
  </si>
  <si>
    <t>Partner Engineering &amp; Science, Inc.</t>
  </si>
  <si>
    <t>Applicant has included the CSDP along with a location/vicinity map, site map and color photographs, and aerial photos of the site.</t>
  </si>
  <si>
    <t>Agree</t>
  </si>
  <si>
    <t>The Project is targeting bronze certification from National Green Building Standards and has a draft score sufficient to qualify for this level of certification.</t>
  </si>
  <si>
    <t xml:space="preserve">Applicant commits to comply with all applicable accessibility codes and requirements. Please see approved waivers regarding accessibility standards due to the age of construction of the project. </t>
  </si>
  <si>
    <t xml:space="preserve">The Project will meet all architectural standards contained in the architectural manual, with the exception of approved architectural waivers, which are included in this application. </t>
  </si>
  <si>
    <t>Yes - see Comment</t>
  </si>
  <si>
    <t>Disagree</t>
  </si>
  <si>
    <t>No legal opinions are requred as none of the above apply to this project.</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</si>
  <si>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</si>
  <si>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 xml:space="preserve">Leasing criteria provided by the applicant clearly faciliates the admission and inclusion of targeted population tenants and does not violate federal or state fair housing laws. </t>
  </si>
  <si>
    <t xml:space="preserve">Proposed project plan ensures the complete, effective, efficient, and lawful allocation and utilization of the Housing Credit Program. The Project has an effective and cost-efficient site design. </t>
  </si>
  <si>
    <t>N/A to preservation application.</t>
  </si>
  <si>
    <t>N/A for Other Metro projects.</t>
  </si>
  <si>
    <t>TBE</t>
  </si>
  <si>
    <t>TBD (only if Option A)</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</si>
  <si>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t>
  </si>
  <si>
    <t>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t>
  </si>
  <si>
    <t xml:space="preserve">The proposed development is not located within the boundaries of a GICH community. </t>
  </si>
  <si>
    <t>Deemed historic via Ga DNRHPD approved NPS Part 1 Evaluation of Significance</t>
  </si>
  <si>
    <t>The structure is deemed historic through the approved NPS Historic Preservation Certification Application Part 1 is provided. The historic structure houses 100% of the total units.</t>
  </si>
  <si>
    <t>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t>
  </si>
  <si>
    <t xml:space="preserve">The property has had average monthly occupancy over the proceeding 24 months of greater than 95%. 24 months of rent rolls and a table has been provided as evidence.  </t>
  </si>
  <si>
    <t>The proposed development is not elligible for these points.</t>
  </si>
  <si>
    <t>Richmond Summit Apartments, LP</t>
  </si>
  <si>
    <t>Richmond Summit</t>
  </si>
  <si>
    <t xml:space="preserve">lauren.valdez@redwoodhousing.com </t>
  </si>
  <si>
    <t>alyssa.alcantara@redwoodhousing.com</t>
  </si>
  <si>
    <t>DDA/QCT</t>
  </si>
  <si>
    <t>Fire &amp; Safety Systems Contract</t>
  </si>
  <si>
    <t>US bancorp</t>
  </si>
  <si>
    <t>2023PA-074</t>
  </si>
  <si>
    <t xml:space="preserve">Richmond Summit Apartments, LP purchased the site on February 25, 2021. </t>
  </si>
  <si>
    <t>Other Pre-Approved</t>
  </si>
  <si>
    <t>Please see Architectural Waiver. The proposed development does not have exterior space.</t>
  </si>
  <si>
    <t xml:space="preserve">Please refer to Architectural waiver submission regarding A2 and inability to provide accesible exterior gathering area. Dishwashers are not required as a senior HUD property. </t>
  </si>
  <si>
    <t xml:space="preserve">Project includes all applicable documentation and the work scope addressess deficiences noted in the PNA. </t>
  </si>
  <si>
    <t>Applicant was determined to be a qualified certifying GP/Developer during the 2022 pre-application round. The Project Team received a 2023 Pre-application Project Team Qualified Determination letter from DCA. This letter has been included in the application.</t>
  </si>
  <si>
    <t>The project is fully covered by a DCA LURC and 135 of the 136 units will maintain existing project-based rental assistance administered by HUD.</t>
  </si>
  <si>
    <t>Applicant has not applied for Nonprofit set-aside.</t>
  </si>
  <si>
    <t xml:space="preserve">Applicant has received a commitment for up to $1,765,557 in historic tax credit equity as a source of favorable financing. This LOI has been provided as evidence, along with the approved Part 1, Part 2 and Part A. </t>
  </si>
  <si>
    <t>The Project meets DCA's underwriting guidelines and has received the following underwriting waiver approvals: waiver to waive rent-up reserve, waiver to underwrite to a 5% vacancy, waiver to use the post renovation rents that are posted in the HUD HAP contract. Support for building permit fees, property tax expenses, and insurance expense projections have been included in the documentation. All funding sources have been certified and equity pricing is reasonable and in-line with industry standards. The project utilizes post renovation HUD-approved rents, which have been provided. The deferred developer fee does not exceed 50% of total developer fee and is payable within fifteen years. There is no assumption of existing debt nor is the project Mixed Use.</t>
  </si>
  <si>
    <t>Applicant certifies that they will meet the following services: full-time activities manager will be allowed in the operating budget; Temporary staffing during lease-up to handle activities set-up and sign-up; Part-time activity managers to be included in operating budgets on smaller projects as needed. Applicants to track resident participation in on-site services. Project intends to include 4 activities and has a full-time resident services coordinator.</t>
  </si>
  <si>
    <t xml:space="preserve">The project is currently 97% occupied and has an average of being over 95% occupied for the last 24 months. For this reason, there is no calculated property absorption period to reach stabilized occupancy as the project is already stabilized. </t>
  </si>
  <si>
    <t xml:space="preserve">The following conditions were identified by the environmental professional: Mold and Moisture - present in building due to historical roof and plumbing leaks; Asbestos - based on sample testing, the following materials are confirmed: roof coping caulk, roof door caulk; Lead-Based Paint - identified on interior and exterior; Lead in water - the result for one sample exceeded the EPA level; The applicant will incorporate the Recommendations on Section 1.3 of the Phase 1 into the renovation as much as feasibly possible. </t>
  </si>
  <si>
    <t>The property has a HUD Section 8 PBRA Contract that covers 202 units. A copy of the HUD PBRA contract has been provided in Section 02 and in Section 52.</t>
  </si>
  <si>
    <t>The property was PIS in 2004 per the 8609s provided. Please note that no updated Cert of Occupancy was not issued as part of the 2004 renovation, as such the 8609 was provided in lieu of that document.</t>
  </si>
  <si>
    <t xml:space="preserve">The PCNA informs the developer about what aspects of the building need to be renovated (for existing buildings). It also informs the developer about the useful life of specific systems and equipment so that the developer can plan ahead and budget accordingly. </t>
  </si>
  <si>
    <t xml:space="preserve">&lt;&lt;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9% tax credit allocation and the close of financing in the first quarter of 2024. Permit applications have undergone extensive review by the local building department and will be ready for issuance upon payment. The Project is working through the pre-construction phases with our Architect, DNA Architecture + Design, Inc. and our General Contractor, Choate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schedule of development activities and a detailed summary of the Project team is included in Applicant folder 51Tiebrkr.
</t>
  </si>
  <si>
    <t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in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The Project is located in the heart of Downtown Augusta at 744 Broad Street, Augusta, GA, 30901, and is listed on the National Register of Historic Places. The Project was originally constructed in 1923 as a downtown hotel with multiple site amenities. It was utilized as such until 1979 when it was converted into affordable housing. The Project was most recently renovated in 2004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Richmond Summit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Richmond Summit, the project could be in jeopardy of losing the current subsidy due to physical deficiencies, especially as the project ages over the next 10 years.  
Without a HUD Section 8 HAP Subsidy, residents would be responsible for paying their entire rent, up to 60% AMI limits, or $834 for a one-bedroom and $1,000 for a two-bedroom. Per the DCA Relocation Workbook, 30% of the average residents’ adjusted monthly income is $248, which represents the current amount that they pay for their apartment units. Residents would face a significant rent increase of $586 for a one-bedroom and $752 for a two-bedroom. Per the DCA Relocation Workbook, the residents at the Richmond Summit have an average adjusted household income of $9,902 or $825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99.6%. These properties have an average of 104 units each, this means that there are approximately 5 available affordable/subsidized units in the Augusta area. Should the affordable restrictions be eliminated at the Richmond Summit Apartments, there would be approximately 130 displaced residents from the Richmond Summit.
If the displaced residents were forced to look at comparable market rate housing, they would be facing an average rent of $1,038 for one-bedroom units and $1,210 for two-bedroom units (Market Study page 58).Per the DCA Relocation Workbook, the residents at the Richmond Summit Apartments have an average adjusted household income of $9,902 or $825 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Richmond Summit would be displaced from their unit and be unable to find comparable living arrangements absent the restrictions and subsidies that they currently enjoy. It is for these reasons that comparable affordable housing options truly do not exist in Augusta, GA. </t>
  </si>
  <si>
    <t>Richard Loo</t>
  </si>
  <si>
    <t>Director of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</si>
</sst>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174" fontId="12"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Richmond Summit</v>
      </c>
    </row>
    <row r="3" spans="1:6" ht="15" customHeight="1">
      <c r="A3" s="666" t="str">
        <f>CONCATENATE('Part I-Project Identification'!F26,", ", 'Part I-Project Identification'!J26," County")</f>
        <v>Augusta, Richmond County</v>
      </c>
    </row>
    <row r="4" spans="1:6" ht="12" customHeight="1">
      <c r="A4" s="1121"/>
    </row>
    <row r="5" spans="1:6" ht="72" customHeight="1">
      <c r="A5" s="3009" t="s">
        <v>6073</v>
      </c>
      <c r="B5" s="3010" t="s">
        <v>3897</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K19" sqref="K19"/>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3136</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Richmond Summit, Augusta, Richmond County</v>
      </c>
      <c r="B2" s="3555"/>
      <c r="C2" s="3555"/>
      <c r="D2" s="3555"/>
      <c r="E2" s="3555"/>
      <c r="F2" s="3555"/>
      <c r="G2" s="3555"/>
      <c r="H2" s="3555"/>
      <c r="I2" s="3555"/>
      <c r="J2" s="3555"/>
      <c r="K2" s="3555"/>
      <c r="L2" s="3555"/>
      <c r="M2" s="3555"/>
      <c r="N2" s="3555"/>
      <c r="O2" s="3555"/>
      <c r="P2" s="3555"/>
      <c r="Q2" s="3556"/>
      <c r="T2" s="1427" t="str">
        <f>A2</f>
        <v>PART FOUR - PROJECTED REVENUES &amp; EXPENSES  -  2023-0 Richmond Summit,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6095</v>
      </c>
      <c r="E4" s="1515"/>
      <c r="F4" s="1515"/>
      <c r="G4" s="1515"/>
      <c r="H4" s="1515"/>
      <c r="I4" s="1515"/>
      <c r="J4" s="1515"/>
      <c r="K4" s="93"/>
      <c r="L4" s="93"/>
      <c r="M4" s="93"/>
      <c r="O4" s="153" t="s">
        <v>534</v>
      </c>
      <c r="P4" s="3562" t="str">
        <f>'Part I-Project Identification'!$O$28</f>
        <v>Augusta-Richmond Co.</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3204</v>
      </c>
      <c r="R5" s="830"/>
      <c r="S5" s="337"/>
      <c r="T5" s="337"/>
      <c r="U5" s="337"/>
      <c r="W5" s="338"/>
      <c r="X5" s="3628" t="s">
        <v>3683</v>
      </c>
      <c r="Y5" s="3628" t="s">
        <v>3684</v>
      </c>
      <c r="Z5" s="3628" t="s">
        <v>3685</v>
      </c>
      <c r="AA5" s="3628" t="s">
        <v>3686</v>
      </c>
      <c r="AB5" s="3628" t="s">
        <v>3687</v>
      </c>
      <c r="AC5" s="3628" t="s">
        <v>3688</v>
      </c>
      <c r="AD5" s="3628" t="s">
        <v>3689</v>
      </c>
      <c r="AE5" s="3628" t="s">
        <v>3690</v>
      </c>
      <c r="AF5" s="3628" t="s">
        <v>3691</v>
      </c>
      <c r="AG5" s="3628" t="s">
        <v>3692</v>
      </c>
      <c r="AH5" s="3628" t="s">
        <v>861</v>
      </c>
      <c r="AI5" s="3628" t="s">
        <v>705</v>
      </c>
      <c r="AJ5" s="3628" t="s">
        <v>706</v>
      </c>
      <c r="AK5" s="3628" t="s">
        <v>707</v>
      </c>
      <c r="AL5" s="3628" t="s">
        <v>708</v>
      </c>
      <c r="AM5" s="3628" t="s">
        <v>862</v>
      </c>
      <c r="AN5" s="3628" t="s">
        <v>2131</v>
      </c>
      <c r="AO5" s="3628" t="s">
        <v>2132</v>
      </c>
      <c r="AP5" s="3628" t="s">
        <v>2133</v>
      </c>
      <c r="AQ5" s="3628" t="s">
        <v>2134</v>
      </c>
      <c r="AR5" s="3628" t="s">
        <v>3694</v>
      </c>
      <c r="AS5" s="3628" t="s">
        <v>3695</v>
      </c>
      <c r="AT5" s="3628" t="s">
        <v>3696</v>
      </c>
      <c r="AU5" s="3628" t="s">
        <v>3697</v>
      </c>
      <c r="AV5" s="3628" t="s">
        <v>3693</v>
      </c>
      <c r="AW5" s="3628" t="s">
        <v>863</v>
      </c>
      <c r="AX5" s="3628" t="s">
        <v>2135</v>
      </c>
      <c r="AY5" s="3628" t="s">
        <v>2136</v>
      </c>
      <c r="AZ5" s="3628" t="s">
        <v>2137</v>
      </c>
      <c r="BA5" s="3628" t="s">
        <v>2138</v>
      </c>
      <c r="BB5" s="3628" t="s">
        <v>3698</v>
      </c>
      <c r="BC5" s="3628" t="s">
        <v>3699</v>
      </c>
      <c r="BD5" s="3628" t="s">
        <v>3700</v>
      </c>
      <c r="BE5" s="3628" t="s">
        <v>3701</v>
      </c>
      <c r="BF5" s="3628" t="s">
        <v>3702</v>
      </c>
      <c r="BG5" s="3628" t="s">
        <v>123</v>
      </c>
      <c r="BH5" s="3628" t="s">
        <v>2139</v>
      </c>
      <c r="BI5" s="3628" t="s">
        <v>2140</v>
      </c>
      <c r="BJ5" s="3628" t="s">
        <v>2141</v>
      </c>
      <c r="BK5" s="3628" t="s">
        <v>1080</v>
      </c>
      <c r="BL5" s="3628" t="s">
        <v>3703</v>
      </c>
      <c r="BM5" s="3628" t="s">
        <v>3704</v>
      </c>
      <c r="BN5" s="3628" t="s">
        <v>3705</v>
      </c>
      <c r="BO5" s="3628" t="s">
        <v>3706</v>
      </c>
      <c r="BP5" s="3628" t="s">
        <v>3707</v>
      </c>
      <c r="BQ5" s="3628" t="s">
        <v>517</v>
      </c>
      <c r="BR5" s="3628" t="s">
        <v>518</v>
      </c>
      <c r="BS5" s="3628" t="s">
        <v>535</v>
      </c>
      <c r="BT5" s="3628" t="s">
        <v>536</v>
      </c>
      <c r="BU5" s="3628" t="s">
        <v>537</v>
      </c>
      <c r="BV5" s="3628" t="s">
        <v>3708</v>
      </c>
      <c r="BW5" s="3628" t="s">
        <v>3709</v>
      </c>
      <c r="BX5" s="3628" t="s">
        <v>3710</v>
      </c>
      <c r="BY5" s="3628" t="s">
        <v>3711</v>
      </c>
      <c r="BZ5" s="3628" t="s">
        <v>3712</v>
      </c>
      <c r="CA5" s="3628" t="s">
        <v>538</v>
      </c>
      <c r="CB5" s="3628" t="s">
        <v>539</v>
      </c>
      <c r="CC5" s="3628" t="s">
        <v>540</v>
      </c>
      <c r="CD5" s="3628" t="s">
        <v>541</v>
      </c>
      <c r="CE5" s="3628" t="s">
        <v>542</v>
      </c>
      <c r="CF5" s="3628" t="s">
        <v>543</v>
      </c>
      <c r="CG5" s="3628" t="s">
        <v>544</v>
      </c>
      <c r="CH5" s="3628" t="s">
        <v>872</v>
      </c>
      <c r="CI5" s="3628" t="s">
        <v>873</v>
      </c>
      <c r="CJ5" s="3628" t="s">
        <v>874</v>
      </c>
      <c r="CK5" s="3628" t="s">
        <v>3718</v>
      </c>
      <c r="CL5" s="3628" t="s">
        <v>3719</v>
      </c>
      <c r="CM5" s="3628" t="s">
        <v>3720</v>
      </c>
      <c r="CN5" s="3628" t="s">
        <v>3721</v>
      </c>
      <c r="CO5" s="3628" t="s">
        <v>3722</v>
      </c>
      <c r="CP5" s="3628" t="s">
        <v>3713</v>
      </c>
      <c r="CQ5" s="3628" t="s">
        <v>3714</v>
      </c>
      <c r="CR5" s="3628" t="s">
        <v>3715</v>
      </c>
      <c r="CS5" s="3628" t="s">
        <v>3716</v>
      </c>
      <c r="CT5" s="3628" t="s">
        <v>3717</v>
      </c>
      <c r="CU5" s="3628" t="s">
        <v>3723</v>
      </c>
      <c r="CV5" s="3628" t="s">
        <v>3724</v>
      </c>
      <c r="CW5" s="3628" t="s">
        <v>3725</v>
      </c>
      <c r="CX5" s="3628" t="s">
        <v>3726</v>
      </c>
      <c r="CY5" s="3628" t="s">
        <v>3727</v>
      </c>
      <c r="CZ5" s="3628" t="s">
        <v>466</v>
      </c>
      <c r="DA5" s="3628" t="s">
        <v>467</v>
      </c>
      <c r="DB5" s="3628" t="s">
        <v>468</v>
      </c>
      <c r="DC5" s="3628" t="s">
        <v>469</v>
      </c>
      <c r="DD5" s="3628" t="s">
        <v>470</v>
      </c>
      <c r="DE5" s="3628" t="s">
        <v>3728</v>
      </c>
      <c r="DF5" s="3628" t="s">
        <v>3729</v>
      </c>
      <c r="DG5" s="3628" t="s">
        <v>3730</v>
      </c>
      <c r="DH5" s="3628" t="s">
        <v>3731</v>
      </c>
      <c r="DI5" s="3628" t="s">
        <v>3732</v>
      </c>
      <c r="DJ5" s="3628" t="s">
        <v>822</v>
      </c>
      <c r="DK5" s="3628" t="s">
        <v>823</v>
      </c>
      <c r="DL5" s="3628" t="s">
        <v>824</v>
      </c>
      <c r="DM5" s="3628" t="s">
        <v>825</v>
      </c>
      <c r="DN5" s="3628" t="s">
        <v>826</v>
      </c>
      <c r="DO5" s="3628" t="s">
        <v>827</v>
      </c>
      <c r="DP5" s="3628" t="s">
        <v>828</v>
      </c>
      <c r="DQ5" s="3628" t="s">
        <v>829</v>
      </c>
      <c r="DR5" s="3628" t="s">
        <v>830</v>
      </c>
      <c r="DS5" s="3628" t="s">
        <v>831</v>
      </c>
      <c r="DT5" s="3628" t="s">
        <v>3733</v>
      </c>
      <c r="DU5" s="3628" t="s">
        <v>3734</v>
      </c>
      <c r="DV5" s="3628" t="s">
        <v>3735</v>
      </c>
      <c r="DW5" s="3628" t="s">
        <v>3736</v>
      </c>
      <c r="DX5" s="3628" t="s">
        <v>3737</v>
      </c>
      <c r="DY5" s="3628" t="s">
        <v>3738</v>
      </c>
      <c r="DZ5" s="3628" t="s">
        <v>3739</v>
      </c>
      <c r="EA5" s="3628" t="s">
        <v>3740</v>
      </c>
      <c r="EB5" s="3628" t="s">
        <v>3741</v>
      </c>
      <c r="EC5" s="3628" t="s">
        <v>3742</v>
      </c>
      <c r="ED5" s="3628" t="s">
        <v>2235</v>
      </c>
      <c r="EE5" s="3628" t="s">
        <v>2236</v>
      </c>
      <c r="EF5" s="3628" t="s">
        <v>2237</v>
      </c>
      <c r="EG5" s="3628" t="s">
        <v>2238</v>
      </c>
      <c r="EH5" s="3628" t="s">
        <v>2239</v>
      </c>
      <c r="EI5" s="3628" t="s">
        <v>3743</v>
      </c>
      <c r="EJ5" s="3628" t="s">
        <v>3744</v>
      </c>
      <c r="EK5" s="3628" t="s">
        <v>3745</v>
      </c>
      <c r="EL5" s="3628" t="s">
        <v>3746</v>
      </c>
      <c r="EM5" s="3628" t="s">
        <v>3747</v>
      </c>
      <c r="EN5" s="3628" t="s">
        <v>3748</v>
      </c>
      <c r="EO5" s="3628" t="s">
        <v>3749</v>
      </c>
      <c r="EP5" s="3628" t="s">
        <v>3750</v>
      </c>
      <c r="EQ5" s="3628" t="s">
        <v>3751</v>
      </c>
      <c r="ER5" s="3628" t="s">
        <v>3752</v>
      </c>
      <c r="ES5" s="3628" t="s">
        <v>111</v>
      </c>
      <c r="ET5" s="3628" t="s">
        <v>1083</v>
      </c>
      <c r="EU5" s="3628" t="s">
        <v>1084</v>
      </c>
      <c r="EV5" s="3628" t="s">
        <v>1139</v>
      </c>
      <c r="EW5" s="3628" t="s">
        <v>1140</v>
      </c>
      <c r="EX5" s="3628" t="s">
        <v>126</v>
      </c>
      <c r="EY5" s="3628" t="s">
        <v>1141</v>
      </c>
      <c r="EZ5" s="3628" t="s">
        <v>1142</v>
      </c>
      <c r="FA5" s="3628" t="s">
        <v>1143</v>
      </c>
      <c r="FB5" s="3628" t="s">
        <v>1144</v>
      </c>
      <c r="FC5" s="3628" t="s">
        <v>3753</v>
      </c>
      <c r="FD5" s="3628" t="s">
        <v>3754</v>
      </c>
      <c r="FE5" s="3628" t="s">
        <v>3755</v>
      </c>
      <c r="FF5" s="3628" t="s">
        <v>3756</v>
      </c>
      <c r="FG5" s="3628" t="s">
        <v>3757</v>
      </c>
      <c r="FH5" s="3628" t="s">
        <v>125</v>
      </c>
      <c r="FI5" s="3628" t="s">
        <v>853</v>
      </c>
      <c r="FJ5" s="3628" t="s">
        <v>854</v>
      </c>
      <c r="FK5" s="3628" t="s">
        <v>855</v>
      </c>
      <c r="FL5" s="3628" t="s">
        <v>856</v>
      </c>
      <c r="FM5" s="3628" t="s">
        <v>3758</v>
      </c>
      <c r="FN5" s="3628" t="s">
        <v>3759</v>
      </c>
      <c r="FO5" s="3628" t="s">
        <v>3760</v>
      </c>
      <c r="FP5" s="3628" t="s">
        <v>3761</v>
      </c>
      <c r="FQ5" s="3628" t="s">
        <v>3762</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6096</v>
      </c>
      <c r="D6" s="1515"/>
      <c r="E6" s="1515"/>
      <c r="F6" s="1515"/>
      <c r="G6" s="1211" t="s">
        <v>194</v>
      </c>
      <c r="H6" s="3557" t="s">
        <v>6098</v>
      </c>
      <c r="I6" s="3558"/>
      <c r="J6" s="3558"/>
      <c r="K6" s="686" t="s">
        <v>3136</v>
      </c>
      <c r="L6" s="3666" t="str">
        <f>'Part I-Project Identification'!$A$6</f>
        <v>April 2023</v>
      </c>
      <c r="M6" s="3666"/>
      <c r="N6" s="3666"/>
      <c r="O6" s="1717" t="s">
        <v>6078</v>
      </c>
      <c r="P6" s="1505">
        <v>74100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6282</v>
      </c>
      <c r="MQ6" s="3628" t="s">
        <v>6283</v>
      </c>
      <c r="MR6" s="3628" t="s">
        <v>6284</v>
      </c>
      <c r="MS6" s="3628" t="s">
        <v>6285</v>
      </c>
      <c r="MT6" s="3628"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6097</v>
      </c>
      <c r="E7" s="4"/>
      <c r="G7" s="1246" t="s">
        <v>2649</v>
      </c>
      <c r="I7" s="3646" t="s">
        <v>4072</v>
      </c>
      <c r="J7" s="686" t="s">
        <v>742</v>
      </c>
      <c r="K7" s="686" t="s">
        <v>3183</v>
      </c>
      <c r="L7" s="3666"/>
      <c r="M7" s="3666"/>
      <c r="N7" s="3666"/>
      <c r="O7" s="1718" t="s">
        <v>6077</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3765</v>
      </c>
      <c r="C8" s="1"/>
      <c r="E8" s="1"/>
      <c r="F8" s="1"/>
      <c r="I8" s="3646"/>
      <c r="J8" s="686" t="s">
        <v>743</v>
      </c>
      <c r="K8" s="686" t="s">
        <v>3184</v>
      </c>
      <c r="L8" s="667"/>
      <c r="M8" s="667"/>
      <c r="N8" s="1716" t="s">
        <v>6481</v>
      </c>
      <c r="O8" s="3648" t="s">
        <v>7053</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3766</v>
      </c>
      <c r="C9" s="686" t="s">
        <v>165</v>
      </c>
      <c r="D9" s="686" t="s">
        <v>510</v>
      </c>
      <c r="E9" s="686" t="s">
        <v>1382</v>
      </c>
      <c r="F9" s="686" t="s">
        <v>1382</v>
      </c>
      <c r="G9" s="3646" t="s">
        <v>6093</v>
      </c>
      <c r="H9" s="830" t="s">
        <v>3303</v>
      </c>
      <c r="I9" s="3646"/>
      <c r="J9" s="3642" t="s">
        <v>6087</v>
      </c>
      <c r="K9" s="686" t="s">
        <v>2217</v>
      </c>
      <c r="L9" s="3638" t="s">
        <v>139</v>
      </c>
      <c r="M9" s="3639"/>
      <c r="N9" s="686" t="s">
        <v>2184</v>
      </c>
      <c r="O9" s="686" t="s">
        <v>6484</v>
      </c>
      <c r="P9" s="3644" t="s">
        <v>6246</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6287</v>
      </c>
      <c r="IZ9" s="3628" t="s">
        <v>6287</v>
      </c>
      <c r="JA9" s="3628" t="s">
        <v>6287</v>
      </c>
      <c r="JB9" s="3628" t="s">
        <v>6287</v>
      </c>
      <c r="JC9" s="3628" t="s">
        <v>6287</v>
      </c>
      <c r="JD9" s="3628" t="s">
        <v>6288</v>
      </c>
      <c r="JE9" s="3628" t="s">
        <v>6288</v>
      </c>
      <c r="JF9" s="3628" t="s">
        <v>6288</v>
      </c>
      <c r="JG9" s="3628" t="s">
        <v>6288</v>
      </c>
      <c r="JH9" s="3628" t="s">
        <v>6288</v>
      </c>
      <c r="JI9" s="3628" t="s">
        <v>6290</v>
      </c>
      <c r="JJ9" s="3628" t="s">
        <v>6290</v>
      </c>
      <c r="JK9" s="3628" t="s">
        <v>6290</v>
      </c>
      <c r="JL9" s="3628" t="s">
        <v>6290</v>
      </c>
      <c r="JM9" s="3628" t="s">
        <v>6290</v>
      </c>
      <c r="JN9" s="3628" t="s">
        <v>6291</v>
      </c>
      <c r="JO9" s="3628" t="s">
        <v>6291</v>
      </c>
      <c r="JP9" s="3628" t="s">
        <v>6291</v>
      </c>
      <c r="JQ9" s="3628" t="s">
        <v>6291</v>
      </c>
      <c r="JR9" s="3628" t="s">
        <v>6291</v>
      </c>
      <c r="JS9" s="3628" t="s">
        <v>6292</v>
      </c>
      <c r="JT9" s="3628" t="s">
        <v>6292</v>
      </c>
      <c r="JU9" s="3628" t="s">
        <v>6292</v>
      </c>
      <c r="JV9" s="3628" t="s">
        <v>6292</v>
      </c>
      <c r="JW9" s="3628" t="s">
        <v>6292</v>
      </c>
      <c r="JX9" s="3628" t="s">
        <v>6485</v>
      </c>
      <c r="JY9" s="3628" t="s">
        <v>6485</v>
      </c>
      <c r="JZ9" s="3628" t="s">
        <v>6485</v>
      </c>
      <c r="KA9" s="3628" t="s">
        <v>6485</v>
      </c>
      <c r="KB9" s="3628" t="s">
        <v>6485</v>
      </c>
      <c r="KC9" s="3628" t="s">
        <v>6650</v>
      </c>
      <c r="KD9" s="3628" t="s">
        <v>6650</v>
      </c>
      <c r="KE9" s="3628" t="s">
        <v>6650</v>
      </c>
      <c r="KF9" s="3628" t="s">
        <v>6650</v>
      </c>
      <c r="KG9" s="3628" t="s">
        <v>6650</v>
      </c>
      <c r="KH9" s="3628" t="s">
        <v>6651</v>
      </c>
      <c r="KI9" s="3628" t="s">
        <v>6651</v>
      </c>
      <c r="KJ9" s="3628" t="s">
        <v>6651</v>
      </c>
      <c r="KK9" s="3628" t="s">
        <v>6651</v>
      </c>
      <c r="KL9" s="3628" t="s">
        <v>6651</v>
      </c>
      <c r="KM9" s="3628" t="s">
        <v>6294</v>
      </c>
      <c r="KN9" s="3628" t="s">
        <v>6294</v>
      </c>
      <c r="KO9" s="3628" t="s">
        <v>6294</v>
      </c>
      <c r="KP9" s="3628" t="s">
        <v>6294</v>
      </c>
      <c r="KQ9" s="3628" t="s">
        <v>6294</v>
      </c>
      <c r="KR9" s="3628" t="s">
        <v>6486</v>
      </c>
      <c r="KS9" s="3628" t="s">
        <v>6486</v>
      </c>
      <c r="KT9" s="3628" t="s">
        <v>6486</v>
      </c>
      <c r="KU9" s="3628" t="s">
        <v>6486</v>
      </c>
      <c r="KV9" s="3628" t="s">
        <v>6486</v>
      </c>
      <c r="KW9" s="3628" t="s">
        <v>6652</v>
      </c>
      <c r="KX9" s="3628" t="s">
        <v>6652</v>
      </c>
      <c r="KY9" s="3628" t="s">
        <v>6652</v>
      </c>
      <c r="KZ9" s="3628" t="s">
        <v>6652</v>
      </c>
      <c r="LA9" s="3628" t="s">
        <v>6652</v>
      </c>
      <c r="LB9" s="3628" t="s">
        <v>6653</v>
      </c>
      <c r="LC9" s="3628" t="s">
        <v>6653</v>
      </c>
      <c r="LD9" s="3628" t="s">
        <v>6653</v>
      </c>
      <c r="LE9" s="3628" t="s">
        <v>6653</v>
      </c>
      <c r="LF9" s="3628" t="s">
        <v>6653</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3933</v>
      </c>
      <c r="C10" s="686" t="s">
        <v>164</v>
      </c>
      <c r="D10" s="686" t="s">
        <v>166</v>
      </c>
      <c r="E10" s="686" t="s">
        <v>1383</v>
      </c>
      <c r="F10" s="686" t="s">
        <v>1203</v>
      </c>
      <c r="G10" s="3647"/>
      <c r="H10" s="686" t="s">
        <v>6094</v>
      </c>
      <c r="I10" s="3647"/>
      <c r="J10" s="3643"/>
      <c r="K10" s="358" t="s">
        <v>334</v>
      </c>
      <c r="L10" s="686" t="s">
        <v>1432</v>
      </c>
      <c r="M10" s="686" t="s">
        <v>504</v>
      </c>
      <c r="N10" s="686" t="s">
        <v>1382</v>
      </c>
      <c r="O10" s="686" t="s">
        <v>6498</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 customHeight="1">
      <c r="A18" s="86" t="str">
        <f t="shared" si="0"/>
        <v/>
      </c>
      <c r="B18" s="1118">
        <v>60</v>
      </c>
      <c r="C18" s="1083">
        <v>1</v>
      </c>
      <c r="D18" s="1753">
        <v>1</v>
      </c>
      <c r="E18" s="1084">
        <v>129</v>
      </c>
      <c r="F18" s="1084">
        <v>607</v>
      </c>
      <c r="G18" s="1084">
        <v>834</v>
      </c>
      <c r="H18" s="1084">
        <v>1040</v>
      </c>
      <c r="I18" s="1084">
        <v>0</v>
      </c>
      <c r="J18" s="1100">
        <f>IF(C18="",0,HLOOKUP(C18,'Part IV-Utility Allowances'!$I$11:$M$22,12))</f>
        <v>0</v>
      </c>
      <c r="K18" s="1101" t="s">
        <v>7055</v>
      </c>
      <c r="L18" s="1102">
        <f t="shared" si="1"/>
        <v>1040</v>
      </c>
      <c r="M18" s="1102">
        <f t="shared" si="2"/>
        <v>134160</v>
      </c>
      <c r="N18" s="1103" t="s">
        <v>2652</v>
      </c>
      <c r="O18" s="1685" t="s">
        <v>7049</v>
      </c>
      <c r="P18" s="1103" t="s">
        <v>7054</v>
      </c>
      <c r="Q18" s="1104" t="s">
        <v>2649</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129</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129</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78303</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78303</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129</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129</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f t="shared" si="294"/>
        <v>129</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 customHeight="1">
      <c r="A19" s="86" t="str">
        <f t="shared" si="0"/>
        <v/>
      </c>
      <c r="B19" s="1119">
        <v>60</v>
      </c>
      <c r="C19" s="132">
        <v>2</v>
      </c>
      <c r="D19" s="1751">
        <v>1</v>
      </c>
      <c r="E19" s="133">
        <v>6</v>
      </c>
      <c r="F19" s="133">
        <v>926</v>
      </c>
      <c r="G19" s="133">
        <v>1000</v>
      </c>
      <c r="H19" s="133">
        <v>1275</v>
      </c>
      <c r="I19" s="133">
        <v>0</v>
      </c>
      <c r="J19" s="756">
        <f>IF(C19="",0,HLOOKUP(C19,'Part IV-Utility Allowances'!$I$11:$M$22,12))</f>
        <v>0</v>
      </c>
      <c r="K19" s="644" t="s">
        <v>7055</v>
      </c>
      <c r="L19" s="461">
        <f t="shared" si="1"/>
        <v>1275</v>
      </c>
      <c r="M19" s="461">
        <f t="shared" si="2"/>
        <v>7650</v>
      </c>
      <c r="N19" s="695" t="s">
        <v>2652</v>
      </c>
      <c r="O19" s="1683" t="s">
        <v>7049</v>
      </c>
      <c r="P19" s="695" t="s">
        <v>7054</v>
      </c>
      <c r="Q19" s="134" t="s">
        <v>2649</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6</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6</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5556</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5556</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6</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6</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f t="shared" si="295"/>
        <v>6</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6416</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6420</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6423</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 customHeight="1">
      <c r="A49" s="1432">
        <f>COUNT(A11,A12,A13,A14,A15,A16,A17,A18,A19,A20,A21,A22,A23,A24,A25,A26,A27,A28,A29,A30,A31,A32,A33,A34,A35,A36,A37,A38,A39,A40)</f>
        <v>0</v>
      </c>
      <c r="B49" s="3632" t="s">
        <v>3770</v>
      </c>
      <c r="C49" s="3633"/>
      <c r="D49" s="107" t="s">
        <v>954</v>
      </c>
      <c r="E49" s="1113">
        <f>SUM(E11:E48)</f>
        <v>135</v>
      </c>
      <c r="F49" s="1111">
        <f>(E11*F11+E12*F12+E13*F13+E14*F14+E15*F15+E16*F16+E17*F17+E18*F18+E19*F19+E20*F20+E21*F21+E22*F22+E23*F23+E24*F24+E25*F25+E26*F26+E27*F27+E28*F28+E29*F29+E30*F30+E31*F31+E32*F32+E33*F33+E34*F34+E35*F35+E36*F36+E37*F37+E38*F38+E39*F39+E40*F40+E41*F41+E42*F42+E43*F43+E44*F44+E45*F45+E46*F46+E47*F47+E48*F48)</f>
        <v>83859</v>
      </c>
      <c r="H49" s="3658" t="s">
        <v>3767</v>
      </c>
      <c r="I49" s="1114" t="s">
        <v>3768</v>
      </c>
      <c r="J49" s="1115" t="str">
        <f>IF(P67=0,"",IF(SUM(P58:P62)/P67&gt;=0.4,"Pass","Fail"))</f>
        <v>Pass</v>
      </c>
      <c r="K49" s="448"/>
      <c r="L49" s="699" t="s">
        <v>1225</v>
      </c>
      <c r="M49" s="94">
        <f>SUM(M11:M48)</f>
        <v>141810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129</v>
      </c>
      <c r="AJ49" s="1749">
        <f t="shared" si="339"/>
        <v>6</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129</v>
      </c>
      <c r="CH49" s="1749">
        <f t="shared" si="338"/>
        <v>6</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78303</v>
      </c>
      <c r="EU49" s="1749">
        <f t="shared" si="342"/>
        <v>5556</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78303</v>
      </c>
      <c r="FY49" s="1749">
        <f t="shared" si="343"/>
        <v>5556</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129</v>
      </c>
      <c r="GX49" s="1749">
        <f t="shared" si="343"/>
        <v>6</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129</v>
      </c>
      <c r="IB49" s="1749">
        <f t="shared" si="344"/>
        <v>6</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129</v>
      </c>
      <c r="LD49" s="1749">
        <f>SUM(LD11:LD48)</f>
        <v>6</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60</v>
      </c>
      <c r="C50" s="3657"/>
      <c r="D50" s="119" t="s">
        <v>3677</v>
      </c>
      <c r="E50" s="1110">
        <f>SUM(E18:E48)</f>
        <v>135</v>
      </c>
      <c r="F50" s="1112">
        <f>(E18*F18+E19*F19+E20*F20+E21*F21+E22*F22+E23*F23+E24*F24+E25*F25+E26*F26+E27*F27+E28*F28+E29*F29+E30*F30+E31*F31+E32*F32+E33*F33+E34*F34+E35*F35+E36*F36+E37*F37+E38*F38+E39*F39+E40*F40+E41*F41+E42*F42+E43*F43+E44*F44+E45*F45+E46*F46+E47*F47+E48*F48)</f>
        <v>83859</v>
      </c>
      <c r="H50" s="3659"/>
      <c r="I50" s="1116" t="s">
        <v>3769</v>
      </c>
      <c r="J50" s="1117" t="str">
        <f>IF(P67=0,"",IF(SUM(P59:P62)/P67&gt;=0.2,"Pass","Fail"))</f>
        <v>Fail</v>
      </c>
      <c r="K50" s="448"/>
      <c r="L50" s="107" t="s">
        <v>757</v>
      </c>
      <c r="M50" s="94">
        <f>M49*12</f>
        <v>1701720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6643</v>
      </c>
      <c r="O53" s="3662" t="s">
        <v>7056</v>
      </c>
      <c r="P53" s="3663"/>
      <c r="S53" s="3634" t="str">
        <f>B53</f>
        <v>UNIT SUMMARY</v>
      </c>
      <c r="T53" s="3634"/>
      <c r="U53" s="3634"/>
      <c r="V53" s="3634"/>
      <c r="AY53" s="359"/>
      <c r="BD53" s="359"/>
      <c r="LO53" s="361"/>
      <c r="MD53" s="357"/>
    </row>
    <row r="54" spans="1:381" ht="14.25" customHeight="1">
      <c r="A54" s="10"/>
      <c r="B54" s="10"/>
      <c r="K54" s="144" t="s">
        <v>6645</v>
      </c>
      <c r="O54" s="3660" t="s">
        <v>7057</v>
      </c>
      <c r="P54" s="3661"/>
      <c r="S54" s="95"/>
      <c r="T54" s="95"/>
      <c r="U54" s="368"/>
      <c r="AY54" s="359"/>
      <c r="BD54" s="359"/>
      <c r="LO54" s="361"/>
      <c r="MD54" s="357"/>
    </row>
    <row r="55" spans="1:381" ht="14.65" customHeight="1">
      <c r="A55" s="10"/>
      <c r="B55" s="10" t="s">
        <v>6495</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4077</v>
      </c>
      <c r="B56" s="3553"/>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653" t="s">
        <v>3185</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3679</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129</v>
      </c>
      <c r="M58" s="1128">
        <f>AJ49</f>
        <v>6</v>
      </c>
      <c r="N58" s="1128">
        <f>AK49</f>
        <v>0</v>
      </c>
      <c r="O58" s="1129">
        <f>AL49</f>
        <v>0</v>
      </c>
      <c r="P58" s="745">
        <f t="shared" si="347"/>
        <v>135</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0</v>
      </c>
      <c r="M59" s="1149">
        <f>AO49</f>
        <v>0</v>
      </c>
      <c r="N59" s="1149">
        <f>AP49</f>
        <v>0</v>
      </c>
      <c r="O59" s="1150">
        <f>AQ49</f>
        <v>0</v>
      </c>
      <c r="P59" s="466">
        <f t="shared" si="347"/>
        <v>0</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3680</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3681</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3682</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3764</v>
      </c>
      <c r="D63" s="1"/>
      <c r="E63" s="1"/>
      <c r="F63" s="1"/>
      <c r="G63" s="62"/>
      <c r="H63" s="68"/>
      <c r="I63" s="44"/>
      <c r="J63" s="62"/>
      <c r="K63" s="1092">
        <f>SUM(K56:K62)</f>
        <v>0</v>
      </c>
      <c r="L63" s="1092">
        <f>SUM(L56:L62)</f>
        <v>129</v>
      </c>
      <c r="M63" s="1092">
        <f>SUM(M56:M62)</f>
        <v>6</v>
      </c>
      <c r="N63" s="1092">
        <f>SUM(N56:N62)</f>
        <v>0</v>
      </c>
      <c r="O63" s="1092">
        <f>SUM(O56:O62)</f>
        <v>0</v>
      </c>
      <c r="P63" s="1092">
        <f t="shared" si="347"/>
        <v>135</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129</v>
      </c>
      <c r="M65" s="1099">
        <f>SUM(M63:M64)</f>
        <v>6</v>
      </c>
      <c r="N65" s="1099">
        <f>SUM(N63:N64)</f>
        <v>0</v>
      </c>
      <c r="O65" s="1099">
        <f>SUM(O63:O64)</f>
        <v>0</v>
      </c>
      <c r="P65" s="1099">
        <f t="shared" si="347"/>
        <v>135</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129</v>
      </c>
      <c r="M67" s="1091">
        <f>SUM(M65:M66)</f>
        <v>6</v>
      </c>
      <c r="N67" s="1091">
        <f>SUM(N65:N66)</f>
        <v>0</v>
      </c>
      <c r="O67" s="1091">
        <f>SUM(O65:O66)</f>
        <v>0</v>
      </c>
      <c r="P67" s="1091">
        <f t="shared" si="347"/>
        <v>135</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3773</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4071</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6489</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4070</v>
      </c>
      <c r="E73" s="3665"/>
      <c r="F73" s="3665"/>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665"/>
      <c r="E76" s="3665"/>
      <c r="F76" s="3665"/>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6488</v>
      </c>
      <c r="I77" s="29"/>
      <c r="J77" s="1"/>
      <c r="K77" s="1509" t="str">
        <f>IF(OR(K58=0,P76="",K67=0),"",P76*K67)</f>
        <v/>
      </c>
      <c r="L77" s="1509">
        <f>IF(OR(L58=0,P76="",L67=0),"",P76*L67)</f>
        <v>129</v>
      </c>
      <c r="M77" s="1509">
        <f>IF(OR(M58=0,P76="",M67=0),"",P76*M67)</f>
        <v>6</v>
      </c>
      <c r="N77" s="1509" t="str">
        <f>IF(OR(N58=0,P76="",N67=0),"",P76*N67)</f>
        <v/>
      </c>
      <c r="O77" s="1509" t="str">
        <f>IF(OR(O58=0,P76="",O67=0),"",P76*O67)</f>
        <v/>
      </c>
      <c r="P77" s="1510">
        <f>IF(OR(P76="",P67=0),"",P76*P67)</f>
        <v>135</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6489</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129</v>
      </c>
      <c r="M95" s="1137">
        <f>CH49</f>
        <v>6</v>
      </c>
      <c r="N95" s="1137">
        <f>CI49</f>
        <v>0</v>
      </c>
      <c r="O95" s="1138">
        <f>CJ49</f>
        <v>0</v>
      </c>
      <c r="P95" s="1090">
        <f t="shared" si="362"/>
        <v>135</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129</v>
      </c>
      <c r="M100" s="1091">
        <f>SUM(M93:M99)</f>
        <v>6</v>
      </c>
      <c r="N100" s="1091">
        <f>SUM(N93:N99)</f>
        <v>0</v>
      </c>
      <c r="O100" s="1091">
        <f>SUM(O93:O99)</f>
        <v>0</v>
      </c>
      <c r="P100" s="1091">
        <f t="shared" si="362"/>
        <v>135</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129</v>
      </c>
      <c r="M116" s="1125">
        <f>GX49</f>
        <v>6</v>
      </c>
      <c r="N116" s="1125">
        <f>GY49</f>
        <v>0</v>
      </c>
      <c r="O116" s="1126">
        <f>GZ49</f>
        <v>0</v>
      </c>
      <c r="P116" s="749">
        <f t="shared" si="364"/>
        <v>135</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129</v>
      </c>
      <c r="M118" s="1093">
        <f>SUM(M116:M117)+HH49</f>
        <v>6</v>
      </c>
      <c r="N118" s="1093">
        <f>SUM(N116:N117)+HI49</f>
        <v>0</v>
      </c>
      <c r="O118" s="1093">
        <f>SUM(O116:O117)+HJ49</f>
        <v>0</v>
      </c>
      <c r="P118" s="1093">
        <f t="shared" si="364"/>
        <v>135</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v>129</v>
      </c>
      <c r="M123" s="468">
        <v>6</v>
      </c>
      <c r="N123" s="468"/>
      <c r="O123" s="468"/>
      <c r="P123" s="464">
        <f t="shared" si="364"/>
        <v>135</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6493</v>
      </c>
      <c r="D127" s="3636"/>
      <c r="E127" s="908" t="s">
        <v>36</v>
      </c>
      <c r="F127" s="767"/>
      <c r="G127" s="909"/>
      <c r="H127" s="1442"/>
      <c r="I127" s="910"/>
      <c r="J127" s="911"/>
      <c r="K127" s="1145">
        <f t="shared" ref="K127:P127" si="365">SUM(K128:K135)</f>
        <v>0</v>
      </c>
      <c r="L127" s="1146">
        <f t="shared" si="365"/>
        <v>129</v>
      </c>
      <c r="M127" s="1146">
        <f t="shared" si="365"/>
        <v>6</v>
      </c>
      <c r="N127" s="1146">
        <f t="shared" si="365"/>
        <v>0</v>
      </c>
      <c r="O127" s="1147">
        <f t="shared" si="365"/>
        <v>0</v>
      </c>
      <c r="P127" s="1096">
        <f t="shared" si="365"/>
        <v>135</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6293</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6295</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6487</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129</v>
      </c>
      <c r="M135" s="1700">
        <f>LD49</f>
        <v>6</v>
      </c>
      <c r="N135" s="1700">
        <f>LE49</f>
        <v>0</v>
      </c>
      <c r="O135" s="1701">
        <f>LF49</f>
        <v>0</v>
      </c>
      <c r="P135" s="1702">
        <f t="shared" si="367"/>
        <v>135</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6482</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6483</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6289</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6494</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129</v>
      </c>
      <c r="M154" s="1696">
        <f t="shared" si="371"/>
        <v>6</v>
      </c>
      <c r="N154" s="1696">
        <f t="shared" si="371"/>
        <v>0</v>
      </c>
      <c r="O154" s="1697">
        <f t="shared" si="371"/>
        <v>0</v>
      </c>
      <c r="P154" s="1698">
        <f t="shared" si="369"/>
        <v>135</v>
      </c>
      <c r="Q154" s="3652" t="s">
        <v>3892</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78303</v>
      </c>
      <c r="M159" s="1164">
        <f>EU49</f>
        <v>5556</v>
      </c>
      <c r="N159" s="1164">
        <f>EV49</f>
        <v>0</v>
      </c>
      <c r="O159" s="1165">
        <f>EW49</f>
        <v>0</v>
      </c>
      <c r="P159" s="1088">
        <f t="shared" si="372"/>
        <v>83859</v>
      </c>
      <c r="Q159" s="1291">
        <f t="shared" si="373"/>
        <v>621.17777777777781</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0</v>
      </c>
      <c r="L164" s="1690">
        <f>SUM(L157:L163)</f>
        <v>78303</v>
      </c>
      <c r="M164" s="1690">
        <f>SUM(M157:M163)</f>
        <v>5556</v>
      </c>
      <c r="N164" s="1690">
        <f>SUM(N157:N163)</f>
        <v>0</v>
      </c>
      <c r="O164" s="1690">
        <f>SUM(O157:O163)</f>
        <v>0</v>
      </c>
      <c r="P164" s="1690">
        <f>SUM(K164:O164)</f>
        <v>83859</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78303</v>
      </c>
      <c r="M166" s="1689">
        <f>SUM(M164:M165)</f>
        <v>5556</v>
      </c>
      <c r="N166" s="1689">
        <f>SUM(N164:N165)</f>
        <v>0</v>
      </c>
      <c r="O166" s="1689">
        <f>SUM(O164:O165)</f>
        <v>0</v>
      </c>
      <c r="P166" s="1689">
        <f>SUM(K166:O166)</f>
        <v>83859</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78303</v>
      </c>
      <c r="M168" s="1094">
        <f>SUM(M166:M167)</f>
        <v>5556</v>
      </c>
      <c r="N168" s="1094">
        <f>SUM(N166:N167)</f>
        <v>0</v>
      </c>
      <c r="O168" s="1094">
        <f>SUM(O166:O167)</f>
        <v>0</v>
      </c>
      <c r="P168" s="1094">
        <f>SUM(K168:O168)</f>
        <v>83859</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t="str">
        <f>IF(OR(K67="",K67=0),"",K168/K67)</f>
        <v/>
      </c>
      <c r="L171" s="1290">
        <f>IF(OR(L67="",L67=0),"",L168/L67)</f>
        <v>607</v>
      </c>
      <c r="M171" s="1290">
        <f>IF(OR(M67="",M67=0),"",M168/M67)</f>
        <v>926</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573">
        <v>81398</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165257</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34034.400000000001</v>
      </c>
      <c r="I179" s="3664"/>
      <c r="J179" s="1406" t="s">
        <v>6759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t="s">
        <v>7058</v>
      </c>
      <c r="D184" s="3587"/>
      <c r="E184" s="3587"/>
      <c r="F184" s="3588"/>
      <c r="H184" s="706">
        <v>82904</v>
      </c>
      <c r="I184" s="706">
        <f>H184*1.02</f>
        <v>84562.08</v>
      </c>
      <c r="J184" s="706">
        <f t="shared" ref="J184:Q184" si="374">I184*1.02</f>
        <v>86253.32160000001</v>
      </c>
      <c r="K184" s="706">
        <f t="shared" si="374"/>
        <v>87978.388032000017</v>
      </c>
      <c r="L184" s="706">
        <f t="shared" si="374"/>
        <v>89737.955792640016</v>
      </c>
      <c r="M184" s="706">
        <f t="shared" si="374"/>
        <v>91532.714908492824</v>
      </c>
      <c r="N184" s="706">
        <f t="shared" si="374"/>
        <v>93363.369206662683</v>
      </c>
      <c r="O184" s="706">
        <f t="shared" si="374"/>
        <v>95230.636590795941</v>
      </c>
      <c r="P184" s="706">
        <f t="shared" si="374"/>
        <v>97135.249322611868</v>
      </c>
      <c r="Q184" s="706">
        <f t="shared" si="374"/>
        <v>99077.954309064109</v>
      </c>
      <c r="R184" s="674"/>
      <c r="S184" s="3559"/>
      <c r="T184" s="3560"/>
      <c r="U184" s="3560"/>
      <c r="V184" s="3560"/>
      <c r="W184" s="3561"/>
    </row>
    <row r="185" spans="1:493" ht="15.6" customHeight="1">
      <c r="B185" s="81"/>
      <c r="C185" s="81" t="s">
        <v>870</v>
      </c>
      <c r="D185" s="81"/>
      <c r="E185" s="81"/>
      <c r="F185" s="81"/>
      <c r="H185" s="708">
        <f>SUM(H183:H184)</f>
        <v>82904</v>
      </c>
      <c r="I185" s="708">
        <f>SUM(I183:I184)</f>
        <v>84562.08</v>
      </c>
      <c r="J185" s="708">
        <f t="shared" ref="J185:Q185" si="375">SUM(J183:J184)</f>
        <v>86253.32160000001</v>
      </c>
      <c r="K185" s="708">
        <f t="shared" si="375"/>
        <v>87978.388032000017</v>
      </c>
      <c r="L185" s="708">
        <f t="shared" si="375"/>
        <v>89737.955792640016</v>
      </c>
      <c r="M185" s="708">
        <f t="shared" si="375"/>
        <v>91532.714908492824</v>
      </c>
      <c r="N185" s="708">
        <f t="shared" si="375"/>
        <v>93363.369206662683</v>
      </c>
      <c r="O185" s="708">
        <f t="shared" si="375"/>
        <v>95230.636590795941</v>
      </c>
      <c r="P185" s="708">
        <f t="shared" si="375"/>
        <v>97135.249322611868</v>
      </c>
      <c r="Q185" s="708">
        <f t="shared" si="375"/>
        <v>99077.954309064109</v>
      </c>
      <c r="R185" s="90"/>
      <c r="S185" s="3565"/>
      <c r="T185" s="3566"/>
      <c r="U185" s="3566"/>
      <c r="V185" s="3566"/>
      <c r="W185" s="3567"/>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t="s">
        <v>7058</v>
      </c>
      <c r="D193" s="3587"/>
      <c r="E193" s="3587"/>
      <c r="F193" s="3588"/>
      <c r="H193" s="706">
        <f>Q184*1.02</f>
        <v>101059.51339524539</v>
      </c>
      <c r="I193" s="706">
        <f>H193*1.02</f>
        <v>103080.7036631503</v>
      </c>
      <c r="J193" s="706">
        <f t="shared" ref="J193:Q193" si="377">I193*1.02</f>
        <v>105142.3177364133</v>
      </c>
      <c r="K193" s="706">
        <f t="shared" si="377"/>
        <v>107245.16409114157</v>
      </c>
      <c r="L193" s="706">
        <f t="shared" si="377"/>
        <v>109390.0673729644</v>
      </c>
      <c r="M193" s="706">
        <f t="shared" si="377"/>
        <v>111577.86872042369</v>
      </c>
      <c r="N193" s="706">
        <f t="shared" si="377"/>
        <v>113809.42609483216</v>
      </c>
      <c r="O193" s="706">
        <f t="shared" si="377"/>
        <v>116085.61461672881</v>
      </c>
      <c r="P193" s="706">
        <f t="shared" si="377"/>
        <v>118407.32690906338</v>
      </c>
      <c r="Q193" s="706">
        <f t="shared" si="377"/>
        <v>120775.47344724466</v>
      </c>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101059.51339524539</v>
      </c>
      <c r="I194" s="708">
        <f>SUM(I192:I193)</f>
        <v>103080.7036631503</v>
      </c>
      <c r="J194" s="708">
        <f t="shared" ref="J194:Q194" si="378">SUM(J192:J193)</f>
        <v>105142.3177364133</v>
      </c>
      <c r="K194" s="708">
        <f t="shared" si="378"/>
        <v>107245.16409114157</v>
      </c>
      <c r="L194" s="708">
        <f t="shared" si="378"/>
        <v>109390.0673729644</v>
      </c>
      <c r="M194" s="708">
        <f t="shared" si="378"/>
        <v>111577.86872042369</v>
      </c>
      <c r="N194" s="708">
        <f t="shared" si="378"/>
        <v>113809.42609483216</v>
      </c>
      <c r="O194" s="708">
        <f t="shared" si="378"/>
        <v>116085.61461672881</v>
      </c>
      <c r="P194" s="708">
        <f t="shared" si="378"/>
        <v>118407.32690906338</v>
      </c>
      <c r="Q194" s="708">
        <f t="shared" si="378"/>
        <v>120775.47344724466</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9">SUM(J196:J197)</f>
        <v>0</v>
      </c>
      <c r="K198" s="708">
        <f t="shared" si="379"/>
        <v>0</v>
      </c>
      <c r="L198" s="708">
        <f t="shared" si="379"/>
        <v>0</v>
      </c>
      <c r="M198" s="708">
        <f t="shared" si="379"/>
        <v>0</v>
      </c>
      <c r="N198" s="708">
        <f t="shared" si="379"/>
        <v>0</v>
      </c>
      <c r="O198" s="708">
        <f t="shared" si="379"/>
        <v>0</v>
      </c>
      <c r="P198" s="708">
        <f t="shared" si="379"/>
        <v>0</v>
      </c>
      <c r="Q198" s="708">
        <f t="shared" si="379"/>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t="s">
        <v>7059</v>
      </c>
      <c r="D202" s="3587"/>
      <c r="E202" s="3587"/>
      <c r="F202" s="3588"/>
      <c r="H202" s="706">
        <f>Q193*1.02</f>
        <v>123190.98291618955</v>
      </c>
      <c r="I202" s="706">
        <f>H202*1.02</f>
        <v>125654.80257451333</v>
      </c>
      <c r="J202" s="706">
        <f t="shared" ref="J202:Q202" si="380">I202*1.02</f>
        <v>128167.8986260036</v>
      </c>
      <c r="K202" s="706">
        <f t="shared" si="380"/>
        <v>130731.25659852367</v>
      </c>
      <c r="L202" s="706">
        <f t="shared" si="380"/>
        <v>133345.88173049415</v>
      </c>
      <c r="M202" s="706">
        <f t="shared" si="380"/>
        <v>136012.79936510403</v>
      </c>
      <c r="N202" s="706">
        <f t="shared" si="380"/>
        <v>138733.05535240611</v>
      </c>
      <c r="O202" s="706">
        <f t="shared" si="380"/>
        <v>141507.71645945424</v>
      </c>
      <c r="P202" s="706">
        <f t="shared" si="380"/>
        <v>144337.87078864334</v>
      </c>
      <c r="Q202" s="706">
        <f t="shared" si="380"/>
        <v>147224.62820441622</v>
      </c>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123190.98291618955</v>
      </c>
      <c r="I203" s="708">
        <f>SUM(I201:I202)</f>
        <v>125654.80257451333</v>
      </c>
      <c r="J203" s="708">
        <f t="shared" ref="J203:Q203" si="381">SUM(J201:J202)</f>
        <v>128167.8986260036</v>
      </c>
      <c r="K203" s="708">
        <f t="shared" si="381"/>
        <v>130731.25659852367</v>
      </c>
      <c r="L203" s="708">
        <f t="shared" si="381"/>
        <v>133345.88173049415</v>
      </c>
      <c r="M203" s="708">
        <f t="shared" si="381"/>
        <v>136012.79936510403</v>
      </c>
      <c r="N203" s="708">
        <f t="shared" si="381"/>
        <v>138733.05535240611</v>
      </c>
      <c r="O203" s="708">
        <f t="shared" si="381"/>
        <v>141507.71645945424</v>
      </c>
      <c r="P203" s="708">
        <f t="shared" si="381"/>
        <v>144337.87078864334</v>
      </c>
      <c r="Q203" s="708">
        <f t="shared" si="381"/>
        <v>147224.62820441622</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82">SUM(J205:J206)</f>
        <v>0</v>
      </c>
      <c r="K207" s="708">
        <f t="shared" si="382"/>
        <v>0</v>
      </c>
      <c r="L207" s="708">
        <f t="shared" si="382"/>
        <v>0</v>
      </c>
      <c r="M207" s="708">
        <f t="shared" si="382"/>
        <v>0</v>
      </c>
      <c r="N207" s="708">
        <f t="shared" si="382"/>
        <v>0</v>
      </c>
      <c r="O207" s="708">
        <f t="shared" si="382"/>
        <v>0</v>
      </c>
      <c r="P207" s="708">
        <f t="shared" si="382"/>
        <v>0</v>
      </c>
      <c r="Q207" s="708">
        <f t="shared" si="382"/>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t="s">
        <v>7059</v>
      </c>
      <c r="D211" s="3587"/>
      <c r="E211" s="3587"/>
      <c r="F211" s="3588"/>
      <c r="H211" s="706">
        <f>Q202*1.02</f>
        <v>150169.12076850454</v>
      </c>
      <c r="I211" s="706">
        <f>H211*1.02</f>
        <v>153172.50318387462</v>
      </c>
      <c r="J211" s="706">
        <f t="shared" ref="J211:L211" si="383">I211*1.02</f>
        <v>156235.95324755213</v>
      </c>
      <c r="K211" s="706">
        <f t="shared" si="383"/>
        <v>159360.67231250319</v>
      </c>
      <c r="L211" s="706">
        <f t="shared" si="383"/>
        <v>162547.88575875325</v>
      </c>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150169.12076850454</v>
      </c>
      <c r="I212" s="708">
        <f>SUM(I210:I211)</f>
        <v>153172.50318387462</v>
      </c>
      <c r="J212" s="708">
        <f>SUM(J210:J211)</f>
        <v>156235.95324755213</v>
      </c>
      <c r="K212" s="708">
        <f>SUM(K210:K211)</f>
        <v>159360.67231250319</v>
      </c>
      <c r="L212" s="708">
        <f>SUM(L210:L211)</f>
        <v>162547.88575875325</v>
      </c>
      <c r="M212" s="68"/>
      <c r="N212" s="68"/>
      <c r="O212" s="68"/>
      <c r="P212" s="68"/>
      <c r="Q212" s="68"/>
      <c r="R212" s="6"/>
      <c r="S212" s="3565"/>
      <c r="T212" s="3566"/>
      <c r="U212" s="3566"/>
      <c r="V212" s="3566"/>
      <c r="W212" s="3567"/>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60615</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96196</v>
      </c>
      <c r="G221" s="3590"/>
      <c r="H221" s="1"/>
      <c r="I221" s="1" t="s">
        <v>1300</v>
      </c>
      <c r="K221" s="1"/>
      <c r="L221" s="3589"/>
      <c r="M221" s="3590"/>
      <c r="N221" s="1"/>
      <c r="O221" s="319">
        <f>+Q220/(P67*0.93)</f>
        <v>482.79569892473114</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97736</v>
      </c>
      <c r="G222" s="3614"/>
      <c r="H222" s="1"/>
      <c r="I222" s="1" t="s">
        <v>1301</v>
      </c>
      <c r="K222" s="1"/>
      <c r="L222" s="3584">
        <v>3360</v>
      </c>
      <c r="M222" s="3585"/>
      <c r="N222" s="1"/>
      <c r="O222" s="319">
        <f>+Q220/(P67*0.93)/12</f>
        <v>40.232974910394262</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3360</v>
      </c>
      <c r="M223" s="3604"/>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613">
        <v>82904</v>
      </c>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7060</v>
      </c>
      <c r="C226" s="3618"/>
      <c r="D226" s="3618"/>
      <c r="E226" s="3619"/>
      <c r="F226" s="3584">
        <v>50721</v>
      </c>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327557</v>
      </c>
      <c r="G227" s="3604"/>
      <c r="H227" s="1"/>
      <c r="I227" s="1" t="s">
        <v>1497</v>
      </c>
      <c r="K227" s="1"/>
      <c r="L227" s="3607">
        <v>5600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2500</v>
      </c>
      <c r="M228" s="3612"/>
      <c r="N228" s="3598" t="str">
        <f>IF(Q230="","",IF(Q228&lt;Q230, "WARNING! OE below required minimum.",""))</f>
        <v/>
      </c>
      <c r="O228" s="4" t="s">
        <v>2029</v>
      </c>
      <c r="P228" s="1"/>
      <c r="Q228" s="326">
        <f>F227+F236+F247+L223+L231+L241+L247+Q220</f>
        <v>858276.00793600001</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c r="M229" s="3612"/>
      <c r="N229" s="3598"/>
      <c r="O229" s="42" t="s">
        <v>2486</v>
      </c>
      <c r="P229" s="319">
        <f>+Q228/P67</f>
        <v>6357.600058785185</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15300</v>
      </c>
      <c r="G230" s="3590"/>
      <c r="H230" s="1"/>
      <c r="I230" s="3621" t="s">
        <v>7061</v>
      </c>
      <c r="J230" s="3622"/>
      <c r="K230" s="3623"/>
      <c r="L230" s="3615">
        <v>8100</v>
      </c>
      <c r="M230" s="3616"/>
      <c r="N230" s="3598"/>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607500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11700</v>
      </c>
      <c r="G231" s="3614"/>
      <c r="H231" s="1"/>
      <c r="I231" s="4"/>
      <c r="K231" s="8" t="s">
        <v>184</v>
      </c>
      <c r="L231" s="3594">
        <f>SUM(L227:L230)</f>
        <v>16200</v>
      </c>
      <c r="M231" s="3620"/>
      <c r="N231" s="3598"/>
      <c r="O231" s="3593" t="s">
        <v>6726</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4400</v>
      </c>
      <c r="G234" s="3614"/>
      <c r="H234" s="1"/>
      <c r="I234" s="4" t="s">
        <v>1297</v>
      </c>
      <c r="K234" s="248" t="s">
        <v>3885</v>
      </c>
      <c r="O234" s="1312" t="s">
        <v>3085</v>
      </c>
      <c r="P234" s="4"/>
      <c r="Q234" s="917">
        <v>56700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c r="C235" s="3618"/>
      <c r="D235" s="3618"/>
      <c r="E235" s="3619"/>
      <c r="F235" s="3584"/>
      <c r="G235" s="3585"/>
      <c r="H235" s="1"/>
      <c r="I235" s="1" t="s">
        <v>1290</v>
      </c>
      <c r="K235" s="365">
        <f>L235/12/P67</f>
        <v>57.933950617283948</v>
      </c>
      <c r="L235" s="3607">
        <v>93853</v>
      </c>
      <c r="M235" s="3608"/>
      <c r="N235" s="3598" t="str">
        <f>IF(Q234&lt;Q243, "WARNING! RR proposed is below the DCA required minimum.","")</f>
        <v/>
      </c>
      <c r="O235" s="772" t="s">
        <v>3884</v>
      </c>
      <c r="P235" s="767"/>
      <c r="Q235" s="773" t="e">
        <f>Q234/P243</f>
        <v>#DIV/0!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31400</v>
      </c>
      <c r="G236" s="3604"/>
      <c r="H236" s="1"/>
      <c r="I236" s="1" t="s">
        <v>1291</v>
      </c>
      <c r="K236" s="365">
        <f>L236/12/P67</f>
        <v>8.8888888888888893</v>
      </c>
      <c r="L236" s="3611">
        <v>14400</v>
      </c>
      <c r="M236" s="3612"/>
      <c r="N236" s="3599"/>
      <c r="O236" s="3600" t="s">
        <v>3231</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19.911111111111111</v>
      </c>
      <c r="L237" s="3611">
        <v>32256</v>
      </c>
      <c r="M237" s="3612"/>
      <c r="N237" s="3599"/>
      <c r="O237" s="766" t="s">
        <v>2464</v>
      </c>
      <c r="P237" s="669" t="s">
        <v>3285</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7.8105185185185189</v>
      </c>
      <c r="L238" s="3611">
        <v>12653.04</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6450</v>
      </c>
      <c r="G239" s="3606"/>
      <c r="H239" s="1"/>
      <c r="I239" s="72" t="s">
        <v>6683</v>
      </c>
      <c r="K239" s="365">
        <f>L239/12/P67</f>
        <v>0</v>
      </c>
      <c r="L239" s="3611"/>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17500</v>
      </c>
      <c r="G240" s="3610"/>
      <c r="H240" s="1"/>
      <c r="I240" s="3626" t="s">
        <v>46</v>
      </c>
      <c r="J240" s="3627"/>
      <c r="K240" s="365">
        <f>L240/12/P67</f>
        <v>0</v>
      </c>
      <c r="L240" s="3615"/>
      <c r="M240" s="3616"/>
      <c r="N240" s="3599"/>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0</v>
      </c>
      <c r="G241" s="3610"/>
      <c r="H241" s="1"/>
      <c r="K241" s="8" t="s">
        <v>184</v>
      </c>
      <c r="L241" s="3594">
        <f>SUM(L235:L240)</f>
        <v>153162.04</v>
      </c>
      <c r="M241" s="3620"/>
      <c r="N241" s="3599"/>
      <c r="O241" s="502" t="s">
        <v>6500</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12720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10000</v>
      </c>
      <c r="G243" s="3614"/>
      <c r="H243" s="1"/>
      <c r="I243" s="4" t="s">
        <v>1298</v>
      </c>
      <c r="O243" s="769" t="s">
        <v>2467</v>
      </c>
      <c r="P243" s="770">
        <f>SUM(MF49:MJ49)+SUM(MK49:MO49)+SUM(MP49:MT49)+P125</f>
        <v>0</v>
      </c>
      <c r="Q243" s="771">
        <f>SUM(Q239:Q242)</f>
        <v>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v>6450</v>
      </c>
      <c r="G244" s="3614"/>
      <c r="H244" s="1"/>
      <c r="I244" s="72" t="s">
        <v>3931</v>
      </c>
      <c r="K244" s="1"/>
      <c r="L244" s="3607">
        <v>84684.557935999997</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c r="G245" s="3614"/>
      <c r="H245" s="1"/>
      <c r="I245" s="1" t="s">
        <v>140</v>
      </c>
      <c r="K245" s="1"/>
      <c r="L245" s="3611">
        <v>113863.41</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7104</v>
      </c>
      <c r="C246" s="3618"/>
      <c r="D246" s="3618"/>
      <c r="E246" s="3619"/>
      <c r="F246" s="3584">
        <v>14314</v>
      </c>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67434</v>
      </c>
      <c r="G247" s="3597"/>
      <c r="H247" s="1"/>
      <c r="K247" s="8" t="s">
        <v>184</v>
      </c>
      <c r="L247" s="3594">
        <f>SUM(L243:L246)</f>
        <v>198547.967936</v>
      </c>
      <c r="M247" s="3595"/>
      <c r="N247" s="1"/>
      <c r="O247" s="4" t="s">
        <v>2030</v>
      </c>
      <c r="P247" s="1"/>
      <c r="Q247" s="326">
        <f>Q228+Q234</f>
        <v>914976.00793600001</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650">
        <v>0</v>
      </c>
      <c r="L251" s="3651"/>
      <c r="M251" s="1284" t="s">
        <v>3902</v>
      </c>
      <c r="N251" s="1222">
        <v>0</v>
      </c>
      <c r="O251" s="4" t="s">
        <v>3877</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2652</v>
      </c>
      <c r="K253" s="1221" t="s">
        <v>3905</v>
      </c>
      <c r="L253" s="1265" t="s">
        <v>2652</v>
      </c>
      <c r="M253" s="53" t="s">
        <v>3906</v>
      </c>
      <c r="N253" s="1222">
        <v>0</v>
      </c>
      <c r="O253" s="72" t="s">
        <v>3904</v>
      </c>
      <c r="P253" s="1"/>
      <c r="Q253" s="1285">
        <v>0</v>
      </c>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592" t="s">
        <v>7062</v>
      </c>
      <c r="B256" s="3592"/>
      <c r="C256" s="3592"/>
      <c r="D256" s="3592"/>
      <c r="E256" s="3592"/>
      <c r="F256" s="3592"/>
      <c r="G256" s="3592"/>
      <c r="H256" s="3592"/>
      <c r="I256" s="3592"/>
      <c r="J256" s="3592"/>
      <c r="K256" s="3592"/>
      <c r="L256" s="3592"/>
      <c r="M256" s="3592"/>
      <c r="N256" s="3591"/>
      <c r="O256" s="3591"/>
      <c r="P256" s="3591"/>
      <c r="Q256" s="3591"/>
      <c r="R256" s="3011" t="s">
        <v>3375</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 zoomScaleNormal="100" workbookViewId="0">
      <selection activeCell="I37" sqref="I37"/>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Richmond Summit, Augusta, Richmond County</v>
      </c>
      <c r="B2" s="3677"/>
      <c r="C2" s="3677"/>
      <c r="D2" s="3677"/>
      <c r="E2" s="3677"/>
      <c r="F2" s="3677"/>
      <c r="G2" s="3677"/>
      <c r="H2" s="3677"/>
      <c r="I2" s="3677"/>
      <c r="J2" s="3677"/>
      <c r="K2" s="3678"/>
      <c r="L2" s="4"/>
      <c r="M2" s="4"/>
      <c r="N2" s="3679" t="str">
        <f>A2</f>
        <v>PART SIX - OPERATING PRO FORMA  -  2023-0 Richmond Summit, Augusta, Richmond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3404</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3405</v>
      </c>
      <c r="E6" s="3564"/>
      <c r="F6" s="3564"/>
      <c r="G6" s="59">
        <v>7500</v>
      </c>
      <c r="H6" s="75" t="s">
        <v>1768</v>
      </c>
      <c r="K6" s="80">
        <f>IF(($B$15+$B$16+$B$17+$B$18)=0,"",B31/($B$15+$B$16+$B$17+$B$18))</f>
        <v>-4.3305773846809394E-3</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3.4999726422991352E-2</v>
      </c>
      <c r="N8" s="3559"/>
      <c r="O8" s="3561"/>
      <c r="AA8" s="1721">
        <v>8</v>
      </c>
    </row>
    <row r="9" spans="1:27" ht="13.35" customHeight="1">
      <c r="A9" s="6" t="s">
        <v>2033</v>
      </c>
      <c r="B9" s="186">
        <v>0.05</v>
      </c>
      <c r="C9" s="1213" t="str">
        <f>IF(B9&lt;0.07, "Must be &gt;= 7%!","")</f>
        <v>Must be &gt;= 7%!</v>
      </c>
      <c r="D9" s="1" t="s">
        <v>2307</v>
      </c>
      <c r="G9" s="1228" t="s">
        <v>2652</v>
      </c>
      <c r="H9" s="140" t="s">
        <v>1355</v>
      </c>
      <c r="K9" s="1230"/>
      <c r="N9" s="3559"/>
      <c r="O9" s="3561"/>
      <c r="AA9" s="1721">
        <v>9</v>
      </c>
    </row>
    <row r="10" spans="1:27">
      <c r="A10" s="6" t="s">
        <v>1336</v>
      </c>
      <c r="B10" s="58">
        <v>0.02</v>
      </c>
      <c r="D10" s="1" t="s">
        <v>1597</v>
      </c>
      <c r="G10" s="1229" t="s">
        <v>2649</v>
      </c>
      <c r="H10" s="140" t="s">
        <v>2174</v>
      </c>
      <c r="K10" s="1231">
        <v>3.5000000000000003E-2</v>
      </c>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1701720</v>
      </c>
      <c r="C15" s="15">
        <f t="shared" ref="C15:K15" si="1">$B$15*(1+$B$6)^(C14-1)</f>
        <v>1735754.4000000001</v>
      </c>
      <c r="D15" s="15">
        <f t="shared" si="1"/>
        <v>1770469.4879999999</v>
      </c>
      <c r="E15" s="15">
        <f t="shared" si="1"/>
        <v>1805878.8777599998</v>
      </c>
      <c r="F15" s="15">
        <f t="shared" si="1"/>
        <v>1841996.4553151999</v>
      </c>
      <c r="G15" s="15">
        <f t="shared" si="1"/>
        <v>1878836.3844215041</v>
      </c>
      <c r="H15" s="15">
        <f t="shared" si="1"/>
        <v>1916413.1121099342</v>
      </c>
      <c r="I15" s="15">
        <f t="shared" si="1"/>
        <v>1954741.3743521324</v>
      </c>
      <c r="J15" s="15">
        <f t="shared" si="1"/>
        <v>1993836.2018391753</v>
      </c>
      <c r="K15" s="16">
        <f t="shared" si="1"/>
        <v>2033712.9258759588</v>
      </c>
      <c r="N15" s="3581"/>
      <c r="O15" s="3583"/>
      <c r="S15" s="3672" t="s">
        <v>3410</v>
      </c>
      <c r="Z15" s="1719" t="s">
        <v>6462</v>
      </c>
      <c r="AA15" s="1721">
        <v>15</v>
      </c>
    </row>
    <row r="16" spans="1:27" ht="13.35" customHeight="1">
      <c r="A16" s="17" t="s">
        <v>952</v>
      </c>
      <c r="B16" s="18">
        <f>MIN(B15*B10,'Part V-Revenues &amp; Expenses'!$H$179)</f>
        <v>34034.400000000001</v>
      </c>
      <c r="C16" s="18">
        <f t="shared" ref="C16:K16" si="2">$B$16*(1+$B$6)^(C14-1)</f>
        <v>34715.088000000003</v>
      </c>
      <c r="D16" s="18">
        <f t="shared" si="2"/>
        <v>35409.389759999998</v>
      </c>
      <c r="E16" s="18">
        <f t="shared" si="2"/>
        <v>36117.577555199998</v>
      </c>
      <c r="F16" s="18">
        <f t="shared" si="2"/>
        <v>36839.929106304</v>
      </c>
      <c r="G16" s="18">
        <f t="shared" si="2"/>
        <v>37576.727688430081</v>
      </c>
      <c r="H16" s="18">
        <f t="shared" si="2"/>
        <v>38328.262242198689</v>
      </c>
      <c r="I16" s="18">
        <f t="shared" si="2"/>
        <v>39094.827487042654</v>
      </c>
      <c r="J16" s="18">
        <f t="shared" si="2"/>
        <v>39876.724036783504</v>
      </c>
      <c r="K16" s="19">
        <f t="shared" si="2"/>
        <v>40674.258517519178</v>
      </c>
      <c r="N16" s="3559"/>
      <c r="O16" s="3561"/>
      <c r="S16" s="3673"/>
      <c r="Z16" s="1719" t="s">
        <v>6462</v>
      </c>
      <c r="AA16" s="1721">
        <v>16</v>
      </c>
    </row>
    <row r="17" spans="1:27" ht="13.35" customHeight="1">
      <c r="A17" s="17" t="s">
        <v>2216</v>
      </c>
      <c r="B17" s="18">
        <f t="shared" ref="B17:K17" si="3">-(B15+B16)*$B$9</f>
        <v>-86787.72</v>
      </c>
      <c r="C17" s="18">
        <f t="shared" si="3"/>
        <v>-88523.474400000006</v>
      </c>
      <c r="D17" s="18">
        <f t="shared" si="3"/>
        <v>-90293.943887999994</v>
      </c>
      <c r="E17" s="18">
        <f t="shared" si="3"/>
        <v>-92099.822765760007</v>
      </c>
      <c r="F17" s="18">
        <f t="shared" si="3"/>
        <v>-93941.819221075202</v>
      </c>
      <c r="G17" s="18">
        <f t="shared" si="3"/>
        <v>-95820.655605496722</v>
      </c>
      <c r="H17" s="18">
        <f t="shared" si="3"/>
        <v>-97737.068717606657</v>
      </c>
      <c r="I17" s="18">
        <f t="shared" si="3"/>
        <v>-99691.81009195876</v>
      </c>
      <c r="J17" s="18">
        <f t="shared" si="3"/>
        <v>-101685.64629379794</v>
      </c>
      <c r="K17" s="19">
        <f t="shared" si="3"/>
        <v>-103719.3592196739</v>
      </c>
      <c r="N17" s="3559"/>
      <c r="O17" s="3561"/>
      <c r="Q17" s="3675" t="s">
        <v>3300</v>
      </c>
      <c r="R17" s="3675" t="s">
        <v>3409</v>
      </c>
      <c r="S17" s="3673"/>
      <c r="Z17" s="1719" t="s">
        <v>6462</v>
      </c>
      <c r="AA17" s="1721">
        <v>17</v>
      </c>
    </row>
    <row r="18" spans="1:27" ht="13.35" customHeight="1">
      <c r="A18" s="17" t="s">
        <v>47</v>
      </c>
      <c r="B18" s="18">
        <f>+'Part V-Revenues &amp; Expenses'!H185</f>
        <v>82904</v>
      </c>
      <c r="C18" s="18">
        <f>+'Part V-Revenues &amp; Expenses'!I185</f>
        <v>84562.08</v>
      </c>
      <c r="D18" s="18">
        <f>+'Part V-Revenues &amp; Expenses'!J185</f>
        <v>86253.32160000001</v>
      </c>
      <c r="E18" s="18">
        <f>+'Part V-Revenues &amp; Expenses'!K185</f>
        <v>87978.388032000017</v>
      </c>
      <c r="F18" s="18">
        <f>+'Part V-Revenues &amp; Expenses'!L185</f>
        <v>89737.955792640016</v>
      </c>
      <c r="G18" s="18">
        <f>+'Part V-Revenues &amp; Expenses'!M185</f>
        <v>91532.714908492824</v>
      </c>
      <c r="H18" s="18">
        <f>+'Part V-Revenues &amp; Expenses'!N185</f>
        <v>93363.369206662683</v>
      </c>
      <c r="I18" s="18">
        <f>+'Part V-Revenues &amp; Expenses'!O185</f>
        <v>95230.636590795941</v>
      </c>
      <c r="J18" s="18">
        <f>+'Part V-Revenues &amp; Expenses'!P185</f>
        <v>97135.249322611868</v>
      </c>
      <c r="K18" s="19">
        <f>+'Part V-Revenues &amp; Expenses'!Q185</f>
        <v>99077.954309064109</v>
      </c>
      <c r="N18" s="3559"/>
      <c r="O18" s="3561"/>
      <c r="Q18" s="3675"/>
      <c r="R18" s="3675"/>
      <c r="S18" s="3674"/>
      <c r="Z18" s="1719" t="s">
        <v>6462</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6462</v>
      </c>
      <c r="AA19" s="1721">
        <v>19</v>
      </c>
    </row>
    <row r="20" spans="1:27" ht="13.35" customHeight="1">
      <c r="A20" s="341" t="s">
        <v>3839</v>
      </c>
      <c r="B20" s="18">
        <f>SUM(B15:B19)</f>
        <v>1731870.68</v>
      </c>
      <c r="C20" s="18">
        <f t="shared" ref="C20:K20" si="4">SUM(C15:C19)</f>
        <v>1766508.0936000003</v>
      </c>
      <c r="D20" s="18">
        <f t="shared" si="4"/>
        <v>1801838.2554719998</v>
      </c>
      <c r="E20" s="18">
        <f t="shared" si="4"/>
        <v>1837875.0205814401</v>
      </c>
      <c r="F20" s="18">
        <f t="shared" si="4"/>
        <v>1874632.5209930688</v>
      </c>
      <c r="G20" s="18">
        <f t="shared" si="4"/>
        <v>1912125.1714129304</v>
      </c>
      <c r="H20" s="18">
        <f t="shared" si="4"/>
        <v>1950367.6748411891</v>
      </c>
      <c r="I20" s="18">
        <f t="shared" si="4"/>
        <v>1989375.0283380123</v>
      </c>
      <c r="J20" s="18">
        <f t="shared" si="4"/>
        <v>2029162.5289047726</v>
      </c>
      <c r="K20" s="19">
        <f t="shared" si="4"/>
        <v>2069745.7794828683</v>
      </c>
      <c r="N20" s="3559"/>
      <c r="O20" s="3561"/>
      <c r="Z20" s="1719" t="s">
        <v>6462</v>
      </c>
      <c r="AA20" s="1721">
        <v>20</v>
      </c>
    </row>
    <row r="21" spans="1:27" ht="13.35" customHeight="1">
      <c r="A21" s="17" t="s">
        <v>572</v>
      </c>
      <c r="B21" s="18">
        <f>-('Part V-Revenues &amp; Expenses'!$Q$228-'Part V-Revenues &amp; Expenses'!$Q$220)</f>
        <v>-797661.00793600001</v>
      </c>
      <c r="C21" s="18">
        <f t="shared" ref="C21:K21" si="5">$B$21*(1+$B$7)^(C14-1)</f>
        <v>-821590.83817408001</v>
      </c>
      <c r="D21" s="18">
        <f t="shared" si="5"/>
        <v>-846238.5633193024</v>
      </c>
      <c r="E21" s="18">
        <f t="shared" si="5"/>
        <v>-871625.7202188815</v>
      </c>
      <c r="F21" s="18">
        <f t="shared" si="5"/>
        <v>-897774.49182544788</v>
      </c>
      <c r="G21" s="18">
        <f t="shared" si="5"/>
        <v>-924707.72658021119</v>
      </c>
      <c r="H21" s="18">
        <f t="shared" si="5"/>
        <v>-952448.95837761764</v>
      </c>
      <c r="I21" s="18">
        <f t="shared" si="5"/>
        <v>-981022.42712894618</v>
      </c>
      <c r="J21" s="18">
        <f t="shared" si="5"/>
        <v>-1010453.0999428144</v>
      </c>
      <c r="K21" s="19">
        <f t="shared" si="5"/>
        <v>-1040766.6929410989</v>
      </c>
      <c r="N21" s="3559"/>
      <c r="O21" s="3561"/>
      <c r="Q21" s="47">
        <v>1</v>
      </c>
      <c r="R21" s="869">
        <f>-B32</f>
        <v>0</v>
      </c>
      <c r="S21" s="869">
        <f>B33+R21</f>
        <v>174631.06706106372</v>
      </c>
      <c r="Z21" s="1719" t="s">
        <v>6462</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-60615</v>
      </c>
      <c r="C22" s="18">
        <f>IF(AND('Part VI-Pro Forma'!$G$9="Yes",'Part VI-Pro Forma'!$G$10="Yes"),"Choose One!",IF('Part VI-Pro Forma'!$G$9="Yes",ROUND((-$K$9*(1+'Part VI-Pro Forma'!$B$7)^('Part VI-Pro Forma'!C14-1)),),IF('Part VI-Pro Forma'!$G$10="Yes",ROUND((-(SUM(C15:C18)*'Part VI-Pro Forma'!$K$10)),),"Choose mgt fee")))</f>
        <v>-61828</v>
      </c>
      <c r="D22" s="18">
        <f>IF(AND('Part VI-Pro Forma'!$G$9="Yes",'Part VI-Pro Forma'!$G$10="Yes"),"Choose One!",IF('Part VI-Pro Forma'!$G$9="Yes",ROUND((-$K$9*(1+'Part VI-Pro Forma'!$B$7)^('Part VI-Pro Forma'!D14-1)),),IF('Part VI-Pro Forma'!$G$10="Yes",ROUND((-(SUM(D15:D18)*'Part VI-Pro Forma'!$K$10)),),"Choose mgt fee")))</f>
        <v>-63064</v>
      </c>
      <c r="E22" s="18">
        <f>IF(AND('Part VI-Pro Forma'!$G$9="Yes",'Part VI-Pro Forma'!$G$10="Yes"),"Choose One!",IF('Part VI-Pro Forma'!$G$9="Yes",ROUND((-$K$9*(1+'Part VI-Pro Forma'!$B$7)^('Part VI-Pro Forma'!E14-1)),),IF('Part VI-Pro Forma'!$G$10="Yes",ROUND((-(SUM(E15:E18)*'Part VI-Pro Forma'!$K$10)),),"Choose mgt fee")))</f>
        <v>-64326</v>
      </c>
      <c r="F22" s="18">
        <f>IF(AND('Part VI-Pro Forma'!$G$9="Yes",'Part VI-Pro Forma'!$G$10="Yes"),"Choose One!",IF('Part VI-Pro Forma'!$G$9="Yes",ROUND((-$K$9*(1+'Part VI-Pro Forma'!$B$7)^('Part VI-Pro Forma'!F14-1)),),IF('Part VI-Pro Forma'!$G$10="Yes",ROUND((-(SUM(F15:F18)*'Part VI-Pro Forma'!$K$10)),),"Choose mgt fee")))</f>
        <v>-65612</v>
      </c>
      <c r="G22" s="18">
        <f>IF(AND('Part VI-Pro Forma'!$G$9="Yes",'Part VI-Pro Forma'!$G$10="Yes"),"Choose One!",IF('Part VI-Pro Forma'!$G$9="Yes",ROUND((-$K$9*(1+'Part VI-Pro Forma'!$B$7)^('Part VI-Pro Forma'!G14-1)),),IF('Part VI-Pro Forma'!$G$10="Yes",ROUND((-(SUM(G15:G18)*'Part VI-Pro Forma'!$K$10)),),"Choose mgt fee")))</f>
        <v>-66924</v>
      </c>
      <c r="H22" s="18">
        <f>IF(AND('Part VI-Pro Forma'!$G$9="Yes",'Part VI-Pro Forma'!$G$10="Yes"),"Choose One!",IF('Part VI-Pro Forma'!$G$9="Yes",ROUND((-$K$9*(1+'Part VI-Pro Forma'!$B$7)^('Part VI-Pro Forma'!H14-1)),),IF('Part VI-Pro Forma'!$G$10="Yes",ROUND((-(SUM(H15:H18)*'Part VI-Pro Forma'!$K$10)),),"Choose mgt fee")))</f>
        <v>-68263</v>
      </c>
      <c r="I22" s="18">
        <f>IF(AND('Part VI-Pro Forma'!$G$9="Yes",'Part VI-Pro Forma'!$G$10="Yes"),"Choose One!",IF('Part VI-Pro Forma'!$G$9="Yes",ROUND((-$K$9*(1+'Part VI-Pro Forma'!$B$7)^('Part VI-Pro Forma'!I14-1)),),IF('Part VI-Pro Forma'!$G$10="Yes",ROUND((-(SUM(I15:I18)*'Part VI-Pro Forma'!$K$10)),),"Choose mgt fee")))</f>
        <v>-69628</v>
      </c>
      <c r="J22" s="18">
        <f>IF(AND('Part VI-Pro Forma'!$G$9="Yes",'Part VI-Pro Forma'!$G$10="Yes"),"Choose One!",IF('Part VI-Pro Forma'!$G$9="Yes",ROUND((-$K$9*(1+'Part VI-Pro Forma'!$B$7)^('Part VI-Pro Forma'!J14-1)),),IF('Part VI-Pro Forma'!$G$10="Yes",ROUND((-(SUM(J15:J18)*'Part VI-Pro Forma'!$K$10)),),"Choose mgt fee")))</f>
        <v>-71021</v>
      </c>
      <c r="K22" s="19">
        <f>IF(AND('Part VI-Pro Forma'!$G$9="Yes",'Part VI-Pro Forma'!$G$10="Yes"),"Choose One!",IF('Part VI-Pro Forma'!$G$9="Yes",ROUND((-$K$9*(1+'Part VI-Pro Forma'!$B$7)^('Part VI-Pro Forma'!K14-1)),),IF('Part VI-Pro Forma'!$G$10="Yes",ROUND((-(SUM(K15:K18)*'Part VI-Pro Forma'!$K$10)),),"Choose mgt fee")))</f>
        <v>-72441</v>
      </c>
      <c r="N22" s="3559"/>
      <c r="O22" s="3561"/>
      <c r="Q22" s="47">
        <v>2</v>
      </c>
      <c r="R22" s="869">
        <f>-SUM(B32:C32)</f>
        <v>43974.858986531865</v>
      </c>
      <c r="S22" s="869">
        <f>SUM(B33:C33)+R22</f>
        <v>357055.71748404775</v>
      </c>
      <c r="Z22" s="1719" t="s">
        <v>6462</v>
      </c>
      <c r="AA22" s="1721">
        <v>22</v>
      </c>
    </row>
    <row r="23" spans="1:27" ht="13.35" customHeight="1">
      <c r="A23" s="17" t="s">
        <v>1128</v>
      </c>
      <c r="B23" s="18">
        <f>-('Part V-Revenues &amp; Expenses'!$Q$234)</f>
        <v>-56700</v>
      </c>
      <c r="C23" s="18">
        <f t="shared" ref="C23:K23" si="6">$B$23*(1+$B$8)^(C14-1)</f>
        <v>-58401</v>
      </c>
      <c r="D23" s="18">
        <f t="shared" si="6"/>
        <v>-60153.03</v>
      </c>
      <c r="E23" s="18">
        <f t="shared" si="6"/>
        <v>-61957.620900000002</v>
      </c>
      <c r="F23" s="18">
        <f t="shared" si="6"/>
        <v>-63816.349526999998</v>
      </c>
      <c r="G23" s="18">
        <f t="shared" si="6"/>
        <v>-65730.840012809989</v>
      </c>
      <c r="H23" s="18">
        <f t="shared" si="6"/>
        <v>-67702.765213194289</v>
      </c>
      <c r="I23" s="18">
        <f t="shared" si="6"/>
        <v>-69733.848169590128</v>
      </c>
      <c r="J23" s="18">
        <f t="shared" si="6"/>
        <v>-71825.86361467783</v>
      </c>
      <c r="K23" s="19">
        <f t="shared" si="6"/>
        <v>-73980.639523118167</v>
      </c>
      <c r="N23" s="3559"/>
      <c r="O23" s="3561"/>
      <c r="Q23" s="47">
        <v>3</v>
      </c>
      <c r="R23" s="869">
        <f>-SUM(B32:D32)</f>
        <v>138822.62219759548</v>
      </c>
      <c r="S23" s="869">
        <f>SUM(B33:D33)+R23</f>
        <v>547174.77463380888</v>
      </c>
      <c r="Z23" s="1719" t="s">
        <v>6462</v>
      </c>
      <c r="AA23" s="1721">
        <v>23</v>
      </c>
    </row>
    <row r="24" spans="1:27" ht="13.35"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243634.93257526564</v>
      </c>
      <c r="S24" s="869">
        <f>SUM(B33:E33)+R24</f>
        <v>744876.84909343126</v>
      </c>
      <c r="Z24" s="1719" t="s">
        <v>6462</v>
      </c>
      <c r="AA24" s="1721">
        <v>24</v>
      </c>
    </row>
    <row r="25" spans="1:27" ht="13.35" customHeight="1">
      <c r="A25" s="17" t="s">
        <v>1129</v>
      </c>
      <c r="B25" s="18">
        <f>SUM(B20:B24)</f>
        <v>816894.67206399993</v>
      </c>
      <c r="C25" s="18">
        <f t="shared" ref="C25:J25" si="7">SUM(C20:C24)</f>
        <v>824688.25542592024</v>
      </c>
      <c r="D25" s="18">
        <f t="shared" si="7"/>
        <v>832382.66215269733</v>
      </c>
      <c r="E25" s="18">
        <f t="shared" si="7"/>
        <v>839965.67946255859</v>
      </c>
      <c r="F25" s="18">
        <f t="shared" si="7"/>
        <v>847429.67964062095</v>
      </c>
      <c r="G25" s="18">
        <f t="shared" si="7"/>
        <v>854762.6048199092</v>
      </c>
      <c r="H25" s="18">
        <f t="shared" si="7"/>
        <v>861952.95125037711</v>
      </c>
      <c r="I25" s="18">
        <f t="shared" si="7"/>
        <v>868990.753039476</v>
      </c>
      <c r="J25" s="18">
        <f t="shared" si="7"/>
        <v>875862.56534728035</v>
      </c>
      <c r="K25" s="1215">
        <f>SUM(K20:K24)</f>
        <v>882557.44701865118</v>
      </c>
      <c r="N25" s="3559"/>
      <c r="O25" s="3561"/>
      <c r="Q25" s="92">
        <v>5</v>
      </c>
      <c r="R25" s="869">
        <f>-SUM(B32:F32)</f>
        <v>353141.19159581984</v>
      </c>
      <c r="S25" s="869">
        <f>SUM(B33:F33)+R25</f>
        <v>950042.92373111611</v>
      </c>
      <c r="Z25" s="1719" t="s">
        <v>6462</v>
      </c>
      <c r="AA25" s="1721">
        <v>25</v>
      </c>
    </row>
    <row r="26" spans="1:27" ht="13.35" customHeight="1">
      <c r="A26" s="341" t="s">
        <v>1486</v>
      </c>
      <c r="B26" s="342">
        <f>IF('Part II-Sources of Funds'!$P$40="", 0,-'Part II-Sources of Funds'!$P$40)</f>
        <v>-634763.60500293621</v>
      </c>
      <c r="C26" s="342">
        <f>IF('Part II-Sources of Funds'!$P$40="", 0,-'Part II-Sources of Funds'!$P$40)</f>
        <v>-634763.60500293621</v>
      </c>
      <c r="D26" s="342">
        <f>IF('Part II-Sources of Funds'!$P$40="", 0,-'Part II-Sources of Funds'!$P$40)</f>
        <v>-634763.60500293621</v>
      </c>
      <c r="E26" s="342">
        <f>IF('Part II-Sources of Funds'!$P$40="", 0,-'Part II-Sources of Funds'!$P$40)</f>
        <v>-634763.60500293621</v>
      </c>
      <c r="F26" s="342">
        <f>IF('Part II-Sources of Funds'!$P$40="", 0,-'Part II-Sources of Funds'!$P$40)</f>
        <v>-634763.60500293621</v>
      </c>
      <c r="G26" s="342">
        <f>IF('Part II-Sources of Funds'!$P$40="", 0,-'Part II-Sources of Funds'!$P$40)</f>
        <v>-634763.60500293621</v>
      </c>
      <c r="H26" s="342">
        <f>IF('Part II-Sources of Funds'!$P$40="", 0,-'Part II-Sources of Funds'!$P$40)</f>
        <v>-634763.60500293621</v>
      </c>
      <c r="I26" s="342">
        <f>IF('Part II-Sources of Funds'!$P$40="", 0,-'Part II-Sources of Funds'!$P$40)</f>
        <v>-634763.60500293621</v>
      </c>
      <c r="J26" s="342">
        <f>IF('Part II-Sources of Funds'!$P$40="", 0,-'Part II-Sources of Funds'!$P$40)</f>
        <v>-634763.60500293621</v>
      </c>
      <c r="K26" s="342">
        <f>IF('Part II-Sources of Funds'!$P$40="", 0,-'Part II-Sources of Funds'!$P$40)</f>
        <v>-634763.60500293621</v>
      </c>
      <c r="N26" s="3559"/>
      <c r="O26" s="3561"/>
      <c r="Q26" s="92">
        <v>6</v>
      </c>
      <c r="R26" s="869">
        <f>-SUM(B32:G32)</f>
        <v>467132.35114217363</v>
      </c>
      <c r="S26" s="869">
        <f>SUM(B33:G33)+R26</f>
        <v>1162541.9235480891</v>
      </c>
      <c r="Z26" s="1719" t="s">
        <v>6462</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489930.07228203089</v>
      </c>
      <c r="S27" s="869">
        <f>SUM(B33:H33)+R27</f>
        <v>1382231.26979553</v>
      </c>
      <c r="Z27" s="1719" t="s">
        <v>6462</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589852.07228203095</v>
      </c>
      <c r="S28" s="869">
        <f>SUM(B33:I33)+R28</f>
        <v>1608958.4178320698</v>
      </c>
      <c r="Z28" s="1719" t="s">
        <v>6462</v>
      </c>
      <c r="AA28" s="1721">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589852.07228203095</v>
      </c>
      <c r="S29" s="869">
        <f>SUM(B33:J33)+R29</f>
        <v>1842557.3781764139</v>
      </c>
      <c r="Z29" s="1719" t="s">
        <v>6462</v>
      </c>
      <c r="AA29" s="1721">
        <v>29</v>
      </c>
    </row>
    <row r="30" spans="1:27" ht="13.35" customHeight="1">
      <c r="A30" s="17" t="s">
        <v>711</v>
      </c>
      <c r="B30" s="138"/>
      <c r="C30" s="138"/>
      <c r="D30" s="138"/>
      <c r="E30" s="138"/>
      <c r="F30" s="138"/>
      <c r="G30" s="138"/>
      <c r="H30" s="138"/>
      <c r="I30" s="138"/>
      <c r="J30" s="138"/>
      <c r="K30" s="138"/>
      <c r="N30" s="3559"/>
      <c r="O30" s="3561"/>
      <c r="Q30" s="92">
        <v>10</v>
      </c>
      <c r="R30" s="869">
        <f>-SUM(B32:K32)</f>
        <v>589852.07228203095</v>
      </c>
      <c r="S30" s="869">
        <f>SUM(B33:K33)+R30</f>
        <v>2082851.220192129</v>
      </c>
      <c r="Z30" s="1719" t="s">
        <v>6462</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9"/>
      <c r="O31" s="3561"/>
      <c r="Q31" s="92">
        <v>11</v>
      </c>
      <c r="R31" s="869">
        <f>-SUM(B32:K32)-B64</f>
        <v>589852.07228203095</v>
      </c>
      <c r="S31" s="869">
        <f>SUM(B33:K33)+B65+R31</f>
        <v>2329648.5578235751</v>
      </c>
      <c r="Z31" s="1719" t="s">
        <v>6462</v>
      </c>
      <c r="AA31" s="1721">
        <v>31</v>
      </c>
    </row>
    <row r="32" spans="1:27" ht="13.35" customHeight="1">
      <c r="A32" s="341" t="s">
        <v>3363</v>
      </c>
      <c r="B32" s="179"/>
      <c r="C32" s="179">
        <v>-43974.858986531865</v>
      </c>
      <c r="D32" s="179">
        <v>-94847.763211063633</v>
      </c>
      <c r="E32" s="179">
        <v>-104812.31037767015</v>
      </c>
      <c r="F32" s="179">
        <v>-109506.25902055418</v>
      </c>
      <c r="G32" s="179">
        <v>-113991.1595463538</v>
      </c>
      <c r="H32" s="179">
        <v>-22797.721139857254</v>
      </c>
      <c r="I32" s="179">
        <v>-99922</v>
      </c>
      <c r="J32" s="179"/>
      <c r="K32" s="179">
        <f>IF('Part II-Sources of Funds'!$P$45="", 0,-'Part II-Sources of Funds'!$P$45)</f>
        <v>0</v>
      </c>
      <c r="N32" s="3559"/>
      <c r="O32" s="3561"/>
      <c r="Q32" s="92">
        <v>12</v>
      </c>
      <c r="R32" s="869">
        <f>-SUM(B32:K32) - SUM(B64:C64)</f>
        <v>589852.07228203095</v>
      </c>
      <c r="S32" s="869">
        <f>SUM(B33:K33) + SUM(B65:C65)+R32</f>
        <v>2582745.0167833259</v>
      </c>
      <c r="Z32" s="1719" t="s">
        <v>6462</v>
      </c>
      <c r="AA32" s="1721">
        <v>32</v>
      </c>
    </row>
    <row r="33" spans="1:27" ht="13.35" customHeight="1">
      <c r="A33" s="17" t="s">
        <v>1096</v>
      </c>
      <c r="B33" s="18">
        <f t="shared" ref="B33:K33" si="9">SUM(B25:B32)</f>
        <v>174631.06706106372</v>
      </c>
      <c r="C33" s="18">
        <f t="shared" si="9"/>
        <v>138449.79143645219</v>
      </c>
      <c r="D33" s="18">
        <f t="shared" si="9"/>
        <v>95271.29393869749</v>
      </c>
      <c r="E33" s="18">
        <f t="shared" si="9"/>
        <v>92889.764081952235</v>
      </c>
      <c r="F33" s="18">
        <f t="shared" si="9"/>
        <v>95659.81561713056</v>
      </c>
      <c r="G33" s="18">
        <f t="shared" si="9"/>
        <v>98507.840270619199</v>
      </c>
      <c r="H33" s="18">
        <f t="shared" si="9"/>
        <v>196891.62510758365</v>
      </c>
      <c r="I33" s="18">
        <f t="shared" si="9"/>
        <v>126805.14803653979</v>
      </c>
      <c r="J33" s="18">
        <f t="shared" si="9"/>
        <v>233598.96034434414</v>
      </c>
      <c r="K33" s="19">
        <f t="shared" si="9"/>
        <v>240293.84201571497</v>
      </c>
      <c r="N33" s="3559"/>
      <c r="O33" s="3561"/>
      <c r="Q33" s="92">
        <v>13</v>
      </c>
      <c r="R33" s="869">
        <f>-SUM(B32:K32) - SUM(B64:D64)</f>
        <v>589852.07228203095</v>
      </c>
      <c r="S33" s="869">
        <f>SUM(B33:K33) + SUM(B65:D65)+R33</f>
        <v>2841922.6825722186</v>
      </c>
      <c r="Z33" s="1719" t="s">
        <v>6462</v>
      </c>
      <c r="AA33" s="1721">
        <v>33</v>
      </c>
    </row>
    <row r="34" spans="1:27" ht="13.35" customHeight="1">
      <c r="A34" s="17" t="str">
        <f>IF('Part II-Sources of Funds'!$E$40 = "Neither", "", "DCR Mortgage A")</f>
        <v>DCR Mortgage A</v>
      </c>
      <c r="B34" s="20">
        <f t="shared" ref="B34:K34" si="10">IF(B26=0,"",-B25/B26)</f>
        <v>1.2869273941126811</v>
      </c>
      <c r="C34" s="20">
        <f t="shared" si="10"/>
        <v>1.2992053245114856</v>
      </c>
      <c r="D34" s="20">
        <f t="shared" si="10"/>
        <v>1.3113270130678758</v>
      </c>
      <c r="E34" s="20">
        <f t="shared" si="10"/>
        <v>1.3232732198921096</v>
      </c>
      <c r="F34" s="20">
        <f t="shared" si="10"/>
        <v>1.3350319283612693</v>
      </c>
      <c r="G34" s="20">
        <f t="shared" si="10"/>
        <v>1.3465841426367779</v>
      </c>
      <c r="H34" s="20">
        <f t="shared" si="10"/>
        <v>1.3579117398301215</v>
      </c>
      <c r="I34" s="20">
        <f t="shared" si="10"/>
        <v>1.3689990197775379</v>
      </c>
      <c r="J34" s="20">
        <f t="shared" si="10"/>
        <v>1.3798248016176493</v>
      </c>
      <c r="K34" s="21">
        <f t="shared" si="10"/>
        <v>1.3903718487681234</v>
      </c>
      <c r="N34" s="3559"/>
      <c r="O34" s="3561"/>
      <c r="Q34" s="92">
        <v>14</v>
      </c>
      <c r="R34" s="869">
        <f>-SUM(B32:K32) - SUM(B64:E64)</f>
        <v>589852.07228203095</v>
      </c>
      <c r="S34" s="869">
        <f>SUM(B33:K33) + SUM(B65:E65)+R34</f>
        <v>3106947.5286933323</v>
      </c>
      <c r="Z34" s="1719" t="s">
        <v>6462</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589852.07228203095</v>
      </c>
      <c r="S35" s="869">
        <f>SUM(B33:K33) + SUM(B65:F65)+R35</f>
        <v>3377571.8244008021</v>
      </c>
      <c r="Z35" s="1719" t="s">
        <v>6462</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589852.07228203095</v>
      </c>
      <c r="S36" s="869">
        <f>SUM(B33:K33) + SUM(B65:G65)+R36</f>
        <v>3653531.5213032709</v>
      </c>
      <c r="Z36" s="1719" t="s">
        <v>6462</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589852.07228203095</v>
      </c>
      <c r="S37" s="869">
        <f>SUM(B33:K33) + SUM(B65:H65)+R37</f>
        <v>3934544.6181200631</v>
      </c>
      <c r="Z37" s="1719" t="s">
        <v>6462</v>
      </c>
      <c r="AA37" s="1721">
        <v>37</v>
      </c>
    </row>
    <row r="38" spans="1:27" ht="13.35" customHeight="1">
      <c r="A38" s="341" t="s">
        <v>3214</v>
      </c>
      <c r="B38" s="20">
        <f t="shared" ref="B38:K38" si="14">IF(AND(B26=0,B27=0,B28=0,B29=0),"",-B25/(B26+B27+B28+B29))</f>
        <v>1.2869273941126811</v>
      </c>
      <c r="C38" s="20">
        <f t="shared" si="14"/>
        <v>1.2992053245114856</v>
      </c>
      <c r="D38" s="20">
        <f t="shared" si="14"/>
        <v>1.3113270130678758</v>
      </c>
      <c r="E38" s="20">
        <f t="shared" si="14"/>
        <v>1.3232732198921096</v>
      </c>
      <c r="F38" s="20">
        <f t="shared" si="14"/>
        <v>1.3350319283612693</v>
      </c>
      <c r="G38" s="20">
        <f t="shared" si="14"/>
        <v>1.3465841426367779</v>
      </c>
      <c r="H38" s="20">
        <f t="shared" si="14"/>
        <v>1.3579117398301215</v>
      </c>
      <c r="I38" s="20">
        <f t="shared" si="14"/>
        <v>1.3689990197775379</v>
      </c>
      <c r="J38" s="20">
        <f t="shared" si="14"/>
        <v>1.3798248016176493</v>
      </c>
      <c r="K38" s="21">
        <f t="shared" si="14"/>
        <v>1.3903718487681234</v>
      </c>
      <c r="N38" s="3559"/>
      <c r="O38" s="3561"/>
      <c r="Q38" s="47">
        <v>18</v>
      </c>
      <c r="R38" s="869">
        <f>-SUM(B32:K32) - SUM(B64:I64)</f>
        <v>589852.07228203095</v>
      </c>
      <c r="S38" s="869">
        <f>SUM(B33:K33) + SUM(B65:I65)+R38</f>
        <v>4220313.5028657522</v>
      </c>
      <c r="Z38" s="1719" t="s">
        <v>6462</v>
      </c>
      <c r="AA38" s="1721">
        <v>38</v>
      </c>
    </row>
    <row r="39" spans="1:27" ht="13.35" customHeight="1">
      <c r="A39" s="17" t="s">
        <v>718</v>
      </c>
      <c r="B39" s="220">
        <f t="shared" ref="B39:K39" si="15">IF(OR(B22="Choose mgt fee",B22="Choose One!"),"",(B15+B16+B17+B18+B19) / -(B21+B22+B23))</f>
        <v>1.892804472443762</v>
      </c>
      <c r="C39" s="220">
        <f t="shared" si="15"/>
        <v>1.8756327080822119</v>
      </c>
      <c r="D39" s="220">
        <f t="shared" si="15"/>
        <v>1.8586083446099027</v>
      </c>
      <c r="E39" s="220">
        <f t="shared" si="15"/>
        <v>1.8417254402296381</v>
      </c>
      <c r="F39" s="220">
        <f t="shared" si="15"/>
        <v>1.8249876709111008</v>
      </c>
      <c r="G39" s="220">
        <f t="shared" si="15"/>
        <v>1.8083912101920545</v>
      </c>
      <c r="H39" s="220">
        <f t="shared" si="15"/>
        <v>1.791934299093906</v>
      </c>
      <c r="I39" s="220">
        <f t="shared" si="15"/>
        <v>1.7756184839419722</v>
      </c>
      <c r="J39" s="220">
        <f t="shared" si="15"/>
        <v>1.7594403824011029</v>
      </c>
      <c r="K39" s="221">
        <f t="shared" si="15"/>
        <v>1.7434013819751315</v>
      </c>
      <c r="N39" s="3559"/>
      <c r="O39" s="3561"/>
      <c r="Q39" s="92">
        <v>19</v>
      </c>
      <c r="R39" s="869">
        <f>-SUM(B32:K32) - SUM(B64:J64)</f>
        <v>589852.07228203095</v>
      </c>
      <c r="S39" s="869">
        <f>SUM(B33:K33) + SUM(B65:J65)+R39</f>
        <v>4510521.2717156895</v>
      </c>
      <c r="Z39" s="1719" t="s">
        <v>6462</v>
      </c>
      <c r="AA39" s="1721">
        <v>39</v>
      </c>
    </row>
    <row r="40" spans="1:27" ht="13.35" customHeight="1">
      <c r="A40" s="341" t="s">
        <v>2405</v>
      </c>
      <c r="B40" s="177">
        <f>IF('Part II-Sources of Funds'!$I$40="","",-FV('Part II-Sources of Funds'!$K$40/12,12,B26/12,'Part II-Sources of Funds'!$I$40))</f>
        <v>10881731.804998592</v>
      </c>
      <c r="C40" s="177">
        <f>IF('Part II-Sources of Funds'!$I$40="","",-FV('Part II-Sources of Funds'!$K$40/12,12,C26/12,B40))</f>
        <v>10788947.641618317</v>
      </c>
      <c r="D40" s="177">
        <f>IF('Part II-Sources of Funds'!$I$40="","",-FV('Part II-Sources of Funds'!$K$40/12,12,D26/12,C40))</f>
        <v>10691416.464346139</v>
      </c>
      <c r="E40" s="177">
        <f>IF('Part II-Sources of Funds'!$I$40="","",-FV('Part II-Sources of Funds'!$K$40/12,12,E26/12,D40))</f>
        <v>10588895.406942077</v>
      </c>
      <c r="F40" s="177">
        <f>IF('Part II-Sources of Funds'!$I$40="","",-FV('Part II-Sources of Funds'!$K$40/12,12,F26/12,E40))</f>
        <v>10481129.17766838</v>
      </c>
      <c r="G40" s="177">
        <f>IF('Part II-Sources of Funds'!$I$40="","",-FV('Part II-Sources of Funds'!$K$40/12,12,G26/12,F40))</f>
        <v>10367849.423577482</v>
      </c>
      <c r="H40" s="177">
        <f>IF('Part II-Sources of Funds'!$I$40="","",-FV('Part II-Sources of Funds'!$K$40/12,12,H26/12,G40))</f>
        <v>10248774.062275719</v>
      </c>
      <c r="I40" s="177">
        <f>IF('Part II-Sources of Funds'!$I$40="","",-FV('Part II-Sources of Funds'!$K$40/12,12,I26/12,H40))</f>
        <v>10123606.579498805</v>
      </c>
      <c r="J40" s="177">
        <f>IF('Part II-Sources of Funds'!$I$40="","",-FV('Part II-Sources of Funds'!$K$40/12,12,J26/12,I40))</f>
        <v>9992035.2907499447</v>
      </c>
      <c r="K40" s="177">
        <f>IF('Part II-Sources of Funds'!$I$40="","",-FV('Part II-Sources of Funds'!$K$40/12,12,K26/12,J40))</f>
        <v>9853732.5651619472</v>
      </c>
      <c r="N40" s="3559"/>
      <c r="O40" s="3561"/>
      <c r="Q40" s="92">
        <v>20</v>
      </c>
      <c r="R40" s="869">
        <f>-SUM(B32:K32) - SUM(B64:K64)</f>
        <v>589852.07228203095</v>
      </c>
      <c r="S40" s="869">
        <f>SUM(B33:K33) + SUM(B65:K65)+R40</f>
        <v>4804834.02378124</v>
      </c>
      <c r="Z40" s="1719" t="s">
        <v>6462</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6462</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6462</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6462</v>
      </c>
      <c r="AA43" s="1721">
        <v>43</v>
      </c>
    </row>
    <row r="44" spans="1:27" ht="13.35" customHeight="1">
      <c r="A44" s="341" t="s">
        <v>3364</v>
      </c>
      <c r="B44" s="179">
        <f>IF('Part II-Sources of Funds'!$I$45="","",-FV('Part II-Sources of Funds'!$K$45/12,12,B32/12,'Part II-Sources of Funds'!$I$45))</f>
        <v>589852.13499920815</v>
      </c>
      <c r="C44" s="179">
        <f>IF('Part II-Sources of Funds'!$I$45="","",IF(-FV('Part II-Sources of Funds'!$K$45/12,12,C32/12,B44)&gt;0,-FV('Part II-Sources of Funds'!$K$45/12,12,C32/12,B44),0))</f>
        <v>545877.2760126763</v>
      </c>
      <c r="D44" s="179">
        <f>IF('Part II-Sources of Funds'!$I$45="","",IF(-FV('Part II-Sources of Funds'!$K$45/12,12,D32/12,C44)&gt;0,-FV('Part II-Sources of Funds'!$K$45/12,12,D32/12,C44),0))</f>
        <v>451029.51280161267</v>
      </c>
      <c r="E44" s="179">
        <f>IF('Part II-Sources of Funds'!$I$45="","",IF(-FV('Part II-Sources of Funds'!$K$45/12,12,E32/12,D44)&gt;0,-FV('Part II-Sources of Funds'!$K$45/12,12,E32/12,D44),0))</f>
        <v>346217.20242394251</v>
      </c>
      <c r="F44" s="179">
        <f>IF('Part II-Sources of Funds'!$I$45="","",IF(-FV('Part II-Sources of Funds'!$K$45/12,12,F32/12,E44)&gt;0,-FV('Part II-Sources of Funds'!$K$45/12,12,F32/12,E44),0))</f>
        <v>236710.94340338834</v>
      </c>
      <c r="G44" s="179">
        <f>IF('Part II-Sources of Funds'!$I$45="","",IF(-FV('Part II-Sources of Funds'!$K$45/12,12,G32/12,F44)&gt;0,-FV('Part II-Sources of Funds'!$K$45/12,12,G32/12,F44),0))</f>
        <v>122719.78385703455</v>
      </c>
      <c r="H44" s="179">
        <f>IF('Part II-Sources of Funds'!$I$45="","",IF(-FV('Part II-Sources of Funds'!$K$45/12,12,H32/12,G44)&gt;0,-FV('Part II-Sources of Funds'!$K$45/12,12,H32/12,G44),0))</f>
        <v>99922.062717177294</v>
      </c>
      <c r="I44" s="179">
        <f>IF('Part II-Sources of Funds'!$I$45="","",IF(-FV('Part II-Sources of Funds'!$K$45/12,12,I32/12,H44)&gt;0,-FV('Part II-Sources of Funds'!$K$45/12,12,I32/12,H44),0))</f>
        <v>6.2717177293961868E-2</v>
      </c>
      <c r="J44" s="179">
        <f>IF('Part II-Sources of Funds'!$I$45="","",IF(-FV('Part II-Sources of Funds'!$K$45/12,12,J32/12,I44)&gt;0,-FV('Part II-Sources of Funds'!$K$45/12,12,J32/12,I44),0))</f>
        <v>6.2717177293961868E-2</v>
      </c>
      <c r="K44" s="179">
        <f>IF('Part II-Sources of Funds'!$I$45="","",IF(-FV('Part II-Sources of Funds'!$K$45/12,12,K32/12,J44)&gt;0,-FV('Part II-Sources of Funds'!$K$45/12,12,K32/12,J44),0))</f>
        <v>6.2717177293961868E-2</v>
      </c>
      <c r="N44" s="3565"/>
      <c r="O44" s="3567"/>
      <c r="Z44" s="1719" t="s">
        <v>6462</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2409</v>
      </c>
      <c r="O46" s="3247"/>
      <c r="AA46" s="1721">
        <v>46</v>
      </c>
    </row>
    <row r="47" spans="1:27" ht="13.35" customHeight="1">
      <c r="A47" s="14" t="s">
        <v>2215</v>
      </c>
      <c r="B47" s="15">
        <f t="shared" ref="B47:K47" si="17">$B$15*(1+$B$6)^(B46-1)</f>
        <v>2074387.1843934781</v>
      </c>
      <c r="C47" s="15">
        <f t="shared" si="17"/>
        <v>2115874.9280813471</v>
      </c>
      <c r="D47" s="15">
        <f t="shared" si="17"/>
        <v>2158192.4266429744</v>
      </c>
      <c r="E47" s="15">
        <f t="shared" si="17"/>
        <v>2201356.2751758341</v>
      </c>
      <c r="F47" s="15">
        <f t="shared" si="17"/>
        <v>2245383.4006793508</v>
      </c>
      <c r="G47" s="15">
        <f t="shared" si="17"/>
        <v>2290291.068692937</v>
      </c>
      <c r="H47" s="15">
        <f t="shared" si="17"/>
        <v>2336096.8900667964</v>
      </c>
      <c r="I47" s="15">
        <f t="shared" si="17"/>
        <v>2382818.8278681324</v>
      </c>
      <c r="J47" s="15">
        <f t="shared" si="17"/>
        <v>2430475.2044254947</v>
      </c>
      <c r="K47" s="16">
        <f t="shared" si="17"/>
        <v>2479084.7085140045</v>
      </c>
      <c r="N47" s="3581"/>
      <c r="O47" s="3583"/>
      <c r="Z47" s="1719" t="s">
        <v>6463</v>
      </c>
      <c r="AA47" s="1721">
        <v>47</v>
      </c>
    </row>
    <row r="48" spans="1:27" ht="13.35" customHeight="1">
      <c r="A48" s="17" t="s">
        <v>952</v>
      </c>
      <c r="B48" s="18">
        <f t="shared" ref="B48:K48" si="18">$B$16*(1+$B$6)^(B46-1)</f>
        <v>41487.743687869566</v>
      </c>
      <c r="C48" s="18">
        <f t="shared" si="18"/>
        <v>42317.498561626948</v>
      </c>
      <c r="D48" s="18">
        <f t="shared" si="18"/>
        <v>43163.848532859491</v>
      </c>
      <c r="E48" s="18">
        <f t="shared" si="18"/>
        <v>44027.125503516676</v>
      </c>
      <c r="F48" s="18">
        <f t="shared" si="18"/>
        <v>44907.668013587019</v>
      </c>
      <c r="G48" s="18">
        <f t="shared" si="18"/>
        <v>45805.821373858744</v>
      </c>
      <c r="H48" s="18">
        <f t="shared" si="18"/>
        <v>46721.937801335931</v>
      </c>
      <c r="I48" s="18">
        <f t="shared" si="18"/>
        <v>47656.376557362652</v>
      </c>
      <c r="J48" s="18">
        <f t="shared" si="18"/>
        <v>48609.504088509901</v>
      </c>
      <c r="K48" s="19">
        <f t="shared" si="18"/>
        <v>49581.694170280098</v>
      </c>
      <c r="N48" s="3559"/>
      <c r="O48" s="3561"/>
      <c r="Z48" s="1719" t="s">
        <v>6463</v>
      </c>
      <c r="AA48" s="1721">
        <v>48</v>
      </c>
    </row>
    <row r="49" spans="1:27" ht="13.35" customHeight="1">
      <c r="A49" s="17" t="s">
        <v>2216</v>
      </c>
      <c r="B49" s="18">
        <f t="shared" ref="B49:K49" si="19">-(B47+B48)*$B$9</f>
        <v>-105793.74640406738</v>
      </c>
      <c r="C49" s="18">
        <f t="shared" si="19"/>
        <v>-107909.6213321487</v>
      </c>
      <c r="D49" s="18">
        <f t="shared" si="19"/>
        <v>-110067.81375879172</v>
      </c>
      <c r="E49" s="18">
        <f t="shared" si="19"/>
        <v>-112269.17003396754</v>
      </c>
      <c r="F49" s="18">
        <f t="shared" si="19"/>
        <v>-114514.55343464691</v>
      </c>
      <c r="G49" s="18">
        <f t="shared" si="19"/>
        <v>-116804.8445033398</v>
      </c>
      <c r="H49" s="18">
        <f t="shared" si="19"/>
        <v>-119140.94139340663</v>
      </c>
      <c r="I49" s="18">
        <f t="shared" si="19"/>
        <v>-121523.76022127476</v>
      </c>
      <c r="J49" s="18">
        <f t="shared" si="19"/>
        <v>-123954.23542570023</v>
      </c>
      <c r="K49" s="19">
        <f t="shared" si="19"/>
        <v>-126433.32013421423</v>
      </c>
      <c r="N49" s="3559"/>
      <c r="O49" s="3561"/>
      <c r="Z49" s="1719" t="s">
        <v>6463</v>
      </c>
      <c r="AA49" s="1721">
        <v>49</v>
      </c>
    </row>
    <row r="50" spans="1:27" ht="13.35" customHeight="1">
      <c r="A50" s="17" t="s">
        <v>47</v>
      </c>
      <c r="B50" s="18">
        <f>'Part V-Revenues &amp; Expenses'!H194</f>
        <v>101059.51339524539</v>
      </c>
      <c r="C50" s="18">
        <f>'Part V-Revenues &amp; Expenses'!I194</f>
        <v>103080.7036631503</v>
      </c>
      <c r="D50" s="18">
        <f>'Part V-Revenues &amp; Expenses'!J194</f>
        <v>105142.3177364133</v>
      </c>
      <c r="E50" s="18">
        <f>'Part V-Revenues &amp; Expenses'!K194</f>
        <v>107245.16409114157</v>
      </c>
      <c r="F50" s="18">
        <f>'Part V-Revenues &amp; Expenses'!L194</f>
        <v>109390.0673729644</v>
      </c>
      <c r="G50" s="18">
        <f>'Part V-Revenues &amp; Expenses'!M194</f>
        <v>111577.86872042369</v>
      </c>
      <c r="H50" s="18">
        <f>'Part V-Revenues &amp; Expenses'!N194</f>
        <v>113809.42609483216</v>
      </c>
      <c r="I50" s="18">
        <f>'Part V-Revenues &amp; Expenses'!O194</f>
        <v>116085.61461672881</v>
      </c>
      <c r="J50" s="18">
        <f>'Part V-Revenues &amp; Expenses'!P194</f>
        <v>118407.32690906338</v>
      </c>
      <c r="K50" s="19">
        <f>'Part V-Revenues &amp; Expenses'!Q194</f>
        <v>120775.47344724466</v>
      </c>
      <c r="N50" s="3559"/>
      <c r="O50" s="3561"/>
      <c r="Z50" s="1719" t="s">
        <v>6463</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6463</v>
      </c>
      <c r="AA51" s="1721">
        <v>51</v>
      </c>
    </row>
    <row r="52" spans="1:27" ht="13.35" customHeight="1">
      <c r="A52" s="341" t="s">
        <v>3839</v>
      </c>
      <c r="B52" s="18">
        <f t="shared" ref="B52:K52" si="20">SUM(B47:B51)</f>
        <v>2111140.6950725256</v>
      </c>
      <c r="C52" s="18">
        <f t="shared" si="20"/>
        <v>2153363.5089739752</v>
      </c>
      <c r="D52" s="18">
        <f t="shared" si="20"/>
        <v>2196430.7791534555</v>
      </c>
      <c r="E52" s="18">
        <f t="shared" si="20"/>
        <v>2240359.3947365247</v>
      </c>
      <c r="F52" s="18">
        <f t="shared" si="20"/>
        <v>2285166.5826312555</v>
      </c>
      <c r="G52" s="18">
        <f t="shared" si="20"/>
        <v>2330869.91428388</v>
      </c>
      <c r="H52" s="18">
        <f t="shared" si="20"/>
        <v>2377487.3125695582</v>
      </c>
      <c r="I52" s="18">
        <f t="shared" si="20"/>
        <v>2425037.0588209494</v>
      </c>
      <c r="J52" s="18">
        <f t="shared" si="20"/>
        <v>2473537.7999973674</v>
      </c>
      <c r="K52" s="19">
        <f t="shared" si="20"/>
        <v>2523008.5559973149</v>
      </c>
      <c r="N52" s="3559"/>
      <c r="O52" s="3561"/>
      <c r="Z52" s="1719" t="s">
        <v>6463</v>
      </c>
      <c r="AA52" s="1721">
        <v>52</v>
      </c>
    </row>
    <row r="53" spans="1:27" ht="13.35" customHeight="1">
      <c r="A53" s="17" t="s">
        <v>572</v>
      </c>
      <c r="B53" s="18">
        <f t="shared" ref="B53:K53" si="21">$B$21*(1+$B$7)^(B46-1)</f>
        <v>-1071989.6937293319</v>
      </c>
      <c r="C53" s="18">
        <f t="shared" si="21"/>
        <v>-1104149.3845412119</v>
      </c>
      <c r="D53" s="18">
        <f t="shared" si="21"/>
        <v>-1137273.866077448</v>
      </c>
      <c r="E53" s="18">
        <f t="shared" si="21"/>
        <v>-1171392.0820597715</v>
      </c>
      <c r="F53" s="18">
        <f t="shared" si="21"/>
        <v>-1206533.8445215647</v>
      </c>
      <c r="G53" s="18">
        <f t="shared" si="21"/>
        <v>-1242729.8598572118</v>
      </c>
      <c r="H53" s="18">
        <f t="shared" si="21"/>
        <v>-1280011.755652928</v>
      </c>
      <c r="I53" s="18">
        <f t="shared" si="21"/>
        <v>-1318412.1083225159</v>
      </c>
      <c r="J53" s="18">
        <f t="shared" si="21"/>
        <v>-1357964.4715721912</v>
      </c>
      <c r="K53" s="19">
        <f t="shared" si="21"/>
        <v>-1398703.4057193568</v>
      </c>
      <c r="N53" s="3559"/>
      <c r="O53" s="3561"/>
      <c r="Z53" s="1719" t="s">
        <v>6463</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-73890</v>
      </c>
      <c r="C54" s="18">
        <f>IF(AND('Part VI-Pro Forma'!$G$9="Yes",'Part VI-Pro Forma'!$G$10="Yes"),"Choose One!",IF('Part VI-Pro Forma'!$G$9="Yes",ROUND((-$K$9*(1+'Part VI-Pro Forma'!$B$7)^('Part VI-Pro Forma'!C46-1)),),IF('Part VI-Pro Forma'!$G$10="Yes",ROUND((-(SUM(C47:C50)*'Part VI-Pro Forma'!$K$10)),),"Choose mgt fee")))</f>
        <v>-75368</v>
      </c>
      <c r="D54" s="18">
        <f>IF(AND('Part VI-Pro Forma'!$G$9="Yes",'Part VI-Pro Forma'!$G$10="Yes"),"Choose One!",IF('Part VI-Pro Forma'!$G$9="Yes",ROUND((-$K$9*(1+'Part VI-Pro Forma'!$B$7)^('Part VI-Pro Forma'!D46-1)),),IF('Part VI-Pro Forma'!$G$10="Yes",ROUND((-(SUM(D47:D50)*'Part VI-Pro Forma'!$K$10)),),"Choose mgt fee")))</f>
        <v>-76875</v>
      </c>
      <c r="E54" s="18">
        <f>IF(AND('Part VI-Pro Forma'!$G$9="Yes",'Part VI-Pro Forma'!$G$10="Yes"),"Choose One!",IF('Part VI-Pro Forma'!$G$9="Yes",ROUND((-$K$9*(1+'Part VI-Pro Forma'!$B$7)^('Part VI-Pro Forma'!E46-1)),),IF('Part VI-Pro Forma'!$G$10="Yes",ROUND((-(SUM(E47:E50)*'Part VI-Pro Forma'!$K$10)),),"Choose mgt fee")))</f>
        <v>-78413</v>
      </c>
      <c r="F54" s="18">
        <f>IF(AND('Part VI-Pro Forma'!$G$9="Yes",'Part VI-Pro Forma'!$G$10="Yes"),"Choose One!",IF('Part VI-Pro Forma'!$G$9="Yes",ROUND((-$K$9*(1+'Part VI-Pro Forma'!$B$7)^('Part VI-Pro Forma'!F46-1)),),IF('Part VI-Pro Forma'!$G$10="Yes",ROUND((-(SUM(F47:F50)*'Part VI-Pro Forma'!$K$10)),),"Choose mgt fee")))</f>
        <v>-79981</v>
      </c>
      <c r="G54" s="18">
        <f>IF(AND('Part VI-Pro Forma'!$G$9="Yes",'Part VI-Pro Forma'!$G$10="Yes"),"Choose One!",IF('Part VI-Pro Forma'!$G$9="Yes",ROUND((-$K$9*(1+'Part VI-Pro Forma'!$B$7)^('Part VI-Pro Forma'!G46-1)),),IF('Part VI-Pro Forma'!$G$10="Yes",ROUND((-(SUM(G47:G50)*'Part VI-Pro Forma'!$K$10)),),"Choose mgt fee")))</f>
        <v>-81580</v>
      </c>
      <c r="H54" s="18">
        <f>IF(AND('Part VI-Pro Forma'!$G$9="Yes",'Part VI-Pro Forma'!$G$10="Yes"),"Choose One!",IF('Part VI-Pro Forma'!$G$9="Yes",ROUND((-$K$9*(1+'Part VI-Pro Forma'!$B$7)^('Part VI-Pro Forma'!H46-1)),),IF('Part VI-Pro Forma'!$G$10="Yes",ROUND((-(SUM(H47:H50)*'Part VI-Pro Forma'!$K$10)),),"Choose mgt fee")))</f>
        <v>-83212</v>
      </c>
      <c r="I54" s="18">
        <f>IF(AND('Part VI-Pro Forma'!$G$9="Yes",'Part VI-Pro Forma'!$G$10="Yes"),"Choose One!",IF('Part VI-Pro Forma'!$G$9="Yes",ROUND((-$K$9*(1+'Part VI-Pro Forma'!$B$7)^('Part VI-Pro Forma'!I46-1)),),IF('Part VI-Pro Forma'!$G$10="Yes",ROUND((-(SUM(I47:I50)*'Part VI-Pro Forma'!$K$10)),),"Choose mgt fee")))</f>
        <v>-84876</v>
      </c>
      <c r="J54" s="18">
        <f>IF(AND('Part VI-Pro Forma'!$G$9="Yes",'Part VI-Pro Forma'!$G$10="Yes"),"Choose One!",IF('Part VI-Pro Forma'!$G$9="Yes",ROUND((-$K$9*(1+'Part VI-Pro Forma'!$B$7)^('Part VI-Pro Forma'!J46-1)),),IF('Part VI-Pro Forma'!$G$10="Yes",ROUND((-(SUM(J47:J50)*'Part VI-Pro Forma'!$K$10)),),"Choose mgt fee")))</f>
        <v>-86574</v>
      </c>
      <c r="K54" s="19">
        <f>IF(AND('Part VI-Pro Forma'!$G$9="Yes",'Part VI-Pro Forma'!$G$10="Yes"),"Choose One!",IF('Part VI-Pro Forma'!$G$9="Yes",ROUND((-$K$9*(1+'Part VI-Pro Forma'!$B$7)^('Part VI-Pro Forma'!K46-1)),),IF('Part VI-Pro Forma'!$G$10="Yes",ROUND((-(SUM(K47:K50)*'Part VI-Pro Forma'!$K$10)),),"Choose mgt fee")))</f>
        <v>-88305</v>
      </c>
      <c r="N54" s="3559"/>
      <c r="O54" s="3561"/>
      <c r="Z54" s="1719" t="s">
        <v>6463</v>
      </c>
      <c r="AA54" s="1721">
        <v>54</v>
      </c>
    </row>
    <row r="55" spans="1:27" ht="13.35" customHeight="1">
      <c r="A55" s="17" t="s">
        <v>1128</v>
      </c>
      <c r="B55" s="18">
        <f t="shared" ref="B55:K55" si="22">$B$23*(1+$B$8)^(B46-1)</f>
        <v>-76200.058708811703</v>
      </c>
      <c r="C55" s="18">
        <f t="shared" si="22"/>
        <v>-78486.06047007606</v>
      </c>
      <c r="D55" s="18">
        <f t="shared" si="22"/>
        <v>-80840.642284178335</v>
      </c>
      <c r="E55" s="18">
        <f t="shared" si="22"/>
        <v>-83265.861552703675</v>
      </c>
      <c r="F55" s="18">
        <f t="shared" si="22"/>
        <v>-85763.837399284792</v>
      </c>
      <c r="G55" s="18">
        <f t="shared" si="22"/>
        <v>-88336.752521263348</v>
      </c>
      <c r="H55" s="18">
        <f t="shared" si="22"/>
        <v>-90986.855096901229</v>
      </c>
      <c r="I55" s="18">
        <f t="shared" si="22"/>
        <v>-93716.460749808262</v>
      </c>
      <c r="J55" s="18">
        <f t="shared" si="22"/>
        <v>-96527.954572302508</v>
      </c>
      <c r="K55" s="19">
        <f t="shared" si="22"/>
        <v>-99423.79320947158</v>
      </c>
      <c r="N55" s="3559"/>
      <c r="O55" s="3561"/>
      <c r="Q55" s="92"/>
      <c r="R55" s="869"/>
      <c r="S55" s="869"/>
      <c r="Z55" s="1719" t="s">
        <v>6463</v>
      </c>
      <c r="AA55" s="1721">
        <v>55</v>
      </c>
    </row>
    <row r="56" spans="1:27" ht="13.35"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6463</v>
      </c>
      <c r="AA56" s="1721">
        <v>56</v>
      </c>
    </row>
    <row r="57" spans="1:27" ht="13.35" customHeight="1">
      <c r="A57" s="17" t="s">
        <v>1129</v>
      </c>
      <c r="B57" s="18">
        <f t="shared" ref="B57:K57" si="23">SUM(B52:B56)</f>
        <v>889060.94263438205</v>
      </c>
      <c r="C57" s="18">
        <f t="shared" si="23"/>
        <v>895360.06396268727</v>
      </c>
      <c r="D57" s="18">
        <f t="shared" si="23"/>
        <v>901441.27079182921</v>
      </c>
      <c r="E57" s="18">
        <f t="shared" si="23"/>
        <v>907288.45112404949</v>
      </c>
      <c r="F57" s="18">
        <f t="shared" si="23"/>
        <v>912887.90071040601</v>
      </c>
      <c r="G57" s="18">
        <f t="shared" si="23"/>
        <v>918223.30190540489</v>
      </c>
      <c r="H57" s="18">
        <f t="shared" si="23"/>
        <v>923276.70181972894</v>
      </c>
      <c r="I57" s="18">
        <f t="shared" si="23"/>
        <v>928032.48974862532</v>
      </c>
      <c r="J57" s="18">
        <f t="shared" si="23"/>
        <v>932471.37385287369</v>
      </c>
      <c r="K57" s="1215">
        <f t="shared" si="23"/>
        <v>936576.3570684864</v>
      </c>
      <c r="N57" s="3559"/>
      <c r="O57" s="3561"/>
      <c r="Z57" s="1719" t="s">
        <v>6463</v>
      </c>
      <c r="AA57" s="1721">
        <v>57</v>
      </c>
    </row>
    <row r="58" spans="1:27" ht="13.35" customHeight="1">
      <c r="A58" s="17" t="str">
        <f>$A26</f>
        <v>Mortgage A</v>
      </c>
      <c r="B58" s="342">
        <f>IF('Part II-Sources of Funds'!$P$40="", 0,-'Part II-Sources of Funds'!$P$40)</f>
        <v>-634763.60500293621</v>
      </c>
      <c r="C58" s="342">
        <f>IF('Part II-Sources of Funds'!$P$40="", 0,-'Part II-Sources of Funds'!$P$40)</f>
        <v>-634763.60500293621</v>
      </c>
      <c r="D58" s="342">
        <f>IF('Part II-Sources of Funds'!$P$40="", 0,-'Part II-Sources of Funds'!$P$40)</f>
        <v>-634763.60500293621</v>
      </c>
      <c r="E58" s="342">
        <f>IF('Part II-Sources of Funds'!$P$40="", 0,-'Part II-Sources of Funds'!$P$40)</f>
        <v>-634763.60500293621</v>
      </c>
      <c r="F58" s="342">
        <f>IF('Part II-Sources of Funds'!$P$40="", 0,-'Part II-Sources of Funds'!$P$40)</f>
        <v>-634763.60500293621</v>
      </c>
      <c r="G58" s="342">
        <f>IF('Part II-Sources of Funds'!$P$40="", 0,-'Part II-Sources of Funds'!$P$40)</f>
        <v>-634763.60500293621</v>
      </c>
      <c r="H58" s="342">
        <f>IF('Part II-Sources of Funds'!$P$40="", 0,-'Part II-Sources of Funds'!$P$40)</f>
        <v>-634763.60500293621</v>
      </c>
      <c r="I58" s="342">
        <f>IF('Part II-Sources of Funds'!$P$40="", 0,-'Part II-Sources of Funds'!$P$40)</f>
        <v>-634763.60500293621</v>
      </c>
      <c r="J58" s="342">
        <f>IF('Part II-Sources of Funds'!$P$40="", 0,-'Part II-Sources of Funds'!$P$40)</f>
        <v>-634763.60500293621</v>
      </c>
      <c r="K58" s="342">
        <f>IF('Part II-Sources of Funds'!$P$40="", 0,-'Part II-Sources of Funds'!$P$40)</f>
        <v>-634763.60500293621</v>
      </c>
      <c r="N58" s="3559"/>
      <c r="O58" s="3561"/>
      <c r="Z58" s="1719" t="s">
        <v>6463</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6463</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6463</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6463</v>
      </c>
      <c r="AA61" s="1721">
        <v>61</v>
      </c>
    </row>
    <row r="62" spans="1:27" ht="13.35" customHeight="1">
      <c r="A62" s="17" t="s">
        <v>711</v>
      </c>
      <c r="B62" s="138"/>
      <c r="C62" s="138"/>
      <c r="D62" s="138"/>
      <c r="E62" s="138"/>
      <c r="F62" s="138"/>
      <c r="G62" s="138"/>
      <c r="H62" s="138"/>
      <c r="I62" s="138"/>
      <c r="J62" s="138"/>
      <c r="K62" s="138"/>
      <c r="N62" s="3559"/>
      <c r="O62" s="3561"/>
      <c r="Q62" s="92"/>
      <c r="R62" s="869"/>
      <c r="Z62" s="1719" t="s">
        <v>6463</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9"/>
      <c r="O63" s="3561"/>
      <c r="Z63" s="1719" t="s">
        <v>6463</v>
      </c>
      <c r="AA63" s="1721">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6463</v>
      </c>
      <c r="AA64" s="1721">
        <v>64</v>
      </c>
    </row>
    <row r="65" spans="1:27" ht="13.35" customHeight="1">
      <c r="A65" s="17" t="s">
        <v>1096</v>
      </c>
      <c r="B65" s="18">
        <f t="shared" ref="B65:K65" si="25">SUM(B57:B64)</f>
        <v>246797.33763144584</v>
      </c>
      <c r="C65" s="18">
        <f t="shared" si="25"/>
        <v>253096.45895975106</v>
      </c>
      <c r="D65" s="18">
        <f t="shared" si="25"/>
        <v>259177.66578889301</v>
      </c>
      <c r="E65" s="18">
        <f t="shared" si="25"/>
        <v>265024.84612111328</v>
      </c>
      <c r="F65" s="18">
        <f t="shared" si="25"/>
        <v>270624.29570746981</v>
      </c>
      <c r="G65" s="18">
        <f t="shared" si="25"/>
        <v>275959.69690246868</v>
      </c>
      <c r="H65" s="18">
        <f t="shared" si="25"/>
        <v>281013.09681679273</v>
      </c>
      <c r="I65" s="18">
        <f t="shared" si="25"/>
        <v>285768.88474568911</v>
      </c>
      <c r="J65" s="18">
        <f t="shared" si="25"/>
        <v>290207.76884993748</v>
      </c>
      <c r="K65" s="497">
        <f t="shared" si="25"/>
        <v>294312.75206555019</v>
      </c>
      <c r="N65" s="3559"/>
      <c r="O65" s="3561"/>
      <c r="Z65" s="1719" t="s">
        <v>6463</v>
      </c>
      <c r="AA65" s="1721">
        <v>65</v>
      </c>
    </row>
    <row r="66" spans="1:27" ht="13.35" customHeight="1">
      <c r="A66" s="17" t="str">
        <f>$A34</f>
        <v>DCR Mortgage A</v>
      </c>
      <c r="B66" s="20">
        <f t="shared" ref="B66:K66" si="26">IF(B58=0,"",-B57/B58)</f>
        <v>1.4006173883114637</v>
      </c>
      <c r="C66" s="20">
        <f t="shared" si="26"/>
        <v>1.4105409587220201</v>
      </c>
      <c r="D66" s="20">
        <f t="shared" si="26"/>
        <v>1.4201212288906504</v>
      </c>
      <c r="E66" s="20">
        <f t="shared" si="26"/>
        <v>1.4293328161431886</v>
      </c>
      <c r="F66" s="20">
        <f t="shared" si="26"/>
        <v>1.4381541309479822</v>
      </c>
      <c r="G66" s="20">
        <f t="shared" si="26"/>
        <v>1.4465594666555552</v>
      </c>
      <c r="H66" s="20">
        <f t="shared" si="26"/>
        <v>1.4545205404702719</v>
      </c>
      <c r="I66" s="20">
        <f t="shared" si="26"/>
        <v>1.4620127594497681</v>
      </c>
      <c r="J66" s="20">
        <f t="shared" si="26"/>
        <v>1.4690057314306173</v>
      </c>
      <c r="K66" s="21">
        <f t="shared" si="26"/>
        <v>1.475472679414495</v>
      </c>
      <c r="N66" s="3559"/>
      <c r="O66" s="3561"/>
      <c r="Z66" s="1719" t="s">
        <v>6463</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6463</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6463</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6463</v>
      </c>
      <c r="AA69" s="1721">
        <v>69</v>
      </c>
    </row>
    <row r="70" spans="1:27" ht="13.35" customHeight="1">
      <c r="A70" s="341" t="s">
        <v>3214</v>
      </c>
      <c r="B70" s="20">
        <f t="shared" ref="B70:K70" si="30">IF(AND(B58=0,B59=0,B60=0,B61=0),"",-B57/(B58+B59+B60+B61))</f>
        <v>1.4006173883114637</v>
      </c>
      <c r="C70" s="20">
        <f t="shared" si="30"/>
        <v>1.4105409587220201</v>
      </c>
      <c r="D70" s="20">
        <f t="shared" si="30"/>
        <v>1.4201212288906504</v>
      </c>
      <c r="E70" s="20">
        <f t="shared" si="30"/>
        <v>1.4293328161431886</v>
      </c>
      <c r="F70" s="20">
        <f t="shared" si="30"/>
        <v>1.4381541309479822</v>
      </c>
      <c r="G70" s="20">
        <f t="shared" si="30"/>
        <v>1.4465594666555552</v>
      </c>
      <c r="H70" s="20">
        <f t="shared" si="30"/>
        <v>1.4545205404702719</v>
      </c>
      <c r="I70" s="20">
        <f t="shared" si="30"/>
        <v>1.4620127594497681</v>
      </c>
      <c r="J70" s="20">
        <f t="shared" si="30"/>
        <v>1.4690057314306173</v>
      </c>
      <c r="K70" s="21">
        <f t="shared" si="30"/>
        <v>1.475472679414495</v>
      </c>
      <c r="N70" s="3559"/>
      <c r="O70" s="3561"/>
      <c r="Z70" s="1719" t="s">
        <v>6463</v>
      </c>
      <c r="AA70" s="1721">
        <v>70</v>
      </c>
    </row>
    <row r="71" spans="1:27" ht="13.35" customHeight="1">
      <c r="A71" s="17" t="s">
        <v>718</v>
      </c>
      <c r="B71" s="220">
        <f t="shared" ref="B71:K71" si="31">IF(OR(B54="Choose mgt fee",B54="Choose One!"),"",(B47+B48+B49+B50+B51) / -(B53+B54+B55))</f>
        <v>1.7274983002219264</v>
      </c>
      <c r="C71" s="220">
        <f t="shared" si="31"/>
        <v>1.7117310111616215</v>
      </c>
      <c r="D71" s="220">
        <f t="shared" si="31"/>
        <v>1.6960992849527405</v>
      </c>
      <c r="E71" s="220">
        <f t="shared" si="31"/>
        <v>1.6806002752302123</v>
      </c>
      <c r="F71" s="220">
        <f t="shared" si="31"/>
        <v>1.665235066854343</v>
      </c>
      <c r="G71" s="220">
        <f t="shared" si="31"/>
        <v>1.6500021264054079</v>
      </c>
      <c r="H71" s="220">
        <f t="shared" si="31"/>
        <v>1.6348988894694305</v>
      </c>
      <c r="I71" s="220">
        <f t="shared" si="31"/>
        <v>1.6199262907552219</v>
      </c>
      <c r="J71" s="220">
        <f t="shared" si="31"/>
        <v>1.60508188228185</v>
      </c>
      <c r="K71" s="221">
        <f t="shared" si="31"/>
        <v>1.5903664573253558</v>
      </c>
      <c r="N71" s="3559"/>
      <c r="O71" s="3561"/>
      <c r="Z71" s="1719" t="s">
        <v>6463</v>
      </c>
      <c r="AA71" s="1721">
        <v>71</v>
      </c>
    </row>
    <row r="72" spans="1:27" ht="13.35" customHeight="1">
      <c r="A72" s="341" t="s">
        <v>2405</v>
      </c>
      <c r="B72" s="177">
        <f>IF('Part II-Sources of Funds'!$I$40="","",-FV('Part II-Sources of Funds'!$K$40/12,12,B58/12,K40))</f>
        <v>9708354.0096506514</v>
      </c>
      <c r="C72" s="177">
        <f>IF('Part II-Sources of Funds'!$I$40="","",-FV('Part II-Sources of Funds'!$K$40/12,12,C58/12,B72))</f>
        <v>9555537.6113280915</v>
      </c>
      <c r="D72" s="177">
        <f>IF('Part II-Sources of Funds'!$I$40="","",-FV('Part II-Sources of Funds'!$K$40/12,12,D58/12,C72))</f>
        <v>9394902.8360398989</v>
      </c>
      <c r="E72" s="177">
        <f>IF('Part II-Sources of Funds'!$I$40="","",-FV('Part II-Sources of Funds'!$K$40/12,12,E58/12,D72))</f>
        <v>9226049.6807821561</v>
      </c>
      <c r="F72" s="177">
        <f>IF('Part II-Sources of Funds'!$I$40="","",-FV('Part II-Sources of Funds'!$K$40/12,12,F58/12,E72))</f>
        <v>9048557.6776381079</v>
      </c>
      <c r="G72" s="177">
        <f>IF('Part II-Sources of Funds'!$I$40="","",-FV('Part II-Sources of Funds'!$K$40/12,12,G58/12,F72))</f>
        <v>8861984.8467543796</v>
      </c>
      <c r="H72" s="177">
        <f>IF('Part II-Sources of Funds'!$I$40="","",-FV('Part II-Sources of Funds'!$K$40/12,12,H58/12,G72))</f>
        <v>8665866.5957494732</v>
      </c>
      <c r="I72" s="177">
        <f>IF('Part II-Sources of Funds'!$I$40="","",-FV('Part II-Sources of Funds'!$K$40/12,12,I58/12,H72))</f>
        <v>8459714.5628139097</v>
      </c>
      <c r="J72" s="177">
        <f>IF('Part II-Sources of Funds'!$I$40="","",-FV('Part II-Sources of Funds'!$K$40/12,12,J58/12,I72))</f>
        <v>8243015.4006211841</v>
      </c>
      <c r="K72" s="177">
        <f>IF('Part II-Sources of Funds'!$I$40="","",-FV('Part II-Sources of Funds'!$K$40/12,12,K58/12,J72))</f>
        <v>8015229.4980212962</v>
      </c>
      <c r="N72" s="3559"/>
      <c r="O72" s="3561"/>
      <c r="Z72" s="1719" t="s">
        <v>6463</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6463</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6463</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6463</v>
      </c>
      <c r="AA75" s="1721">
        <v>75</v>
      </c>
    </row>
    <row r="76" spans="1:27" ht="13.35" customHeight="1">
      <c r="A76" s="341" t="s">
        <v>3364</v>
      </c>
      <c r="B76" s="179">
        <f>IF('Part II-Sources of Funds'!$I$45="","",IF(-FV('Part II-Sources of Funds'!$K$45/12,12,B64/12,K44)&gt;0,-FV('Part II-Sources of Funds'!$K$45/12,12,B64/12,K44),0))</f>
        <v>6.2717177293961868E-2</v>
      </c>
      <c r="C76" s="179">
        <f>IF('Part II-Sources of Funds'!$I$45="","",IF(-FV('Part II-Sources of Funds'!$K$45/12,12,C64/12,B76)&gt;0,-FV('Part II-Sources of Funds'!$K$45/12,12,C64/12,B76),0))</f>
        <v>6.2717177293961868E-2</v>
      </c>
      <c r="D76" s="179">
        <f>IF('Part II-Sources of Funds'!$I$45="","",IF(-FV('Part II-Sources of Funds'!$K$45/12,12,D64/12,C76)&gt;0,-FV('Part II-Sources of Funds'!$K$45/12,12,D64/12,C76),0))</f>
        <v>6.2717177293961868E-2</v>
      </c>
      <c r="E76" s="179">
        <f>IF('Part II-Sources of Funds'!$I$45="","",IF(-FV('Part II-Sources of Funds'!$K$45/12,12,E64/12,D76)&gt;0,-FV('Part II-Sources of Funds'!$K$45/12,12,E64/12,D76),0))</f>
        <v>6.2717177293961868E-2</v>
      </c>
      <c r="F76" s="179">
        <f>IF('Part II-Sources of Funds'!$I$45="","",IF(-FV('Part II-Sources of Funds'!$K$45/12,12,F64/12,E76)&gt;0,-FV('Part II-Sources of Funds'!$K$45/12,12,F64/12,E76),0))</f>
        <v>6.2717177293961868E-2</v>
      </c>
      <c r="G76" s="179">
        <f>IF('Part II-Sources of Funds'!$I$45="","",IF(-FV('Part II-Sources of Funds'!$K$45/12,12,G64/12,F76)&gt;0,-FV('Part II-Sources of Funds'!$K$45/12,12,G64/12,F76),0))</f>
        <v>6.2717177293961868E-2</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6463</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2410</v>
      </c>
      <c r="O78" s="3247"/>
      <c r="AA78" s="1721">
        <v>78</v>
      </c>
    </row>
    <row r="79" spans="1:27" ht="13.35" customHeight="1">
      <c r="A79" s="14" t="s">
        <v>2215</v>
      </c>
      <c r="B79" s="15">
        <f t="shared" ref="B79:K79" si="33">$B$15*(1+$B$6)^(B78-1)</f>
        <v>2528666.4026842848</v>
      </c>
      <c r="C79" s="15">
        <f t="shared" si="33"/>
        <v>2579239.7307379707</v>
      </c>
      <c r="D79" s="15">
        <f t="shared" si="33"/>
        <v>2630824.52535273</v>
      </c>
      <c r="E79" s="15">
        <f t="shared" si="33"/>
        <v>2683441.0158597841</v>
      </c>
      <c r="F79" s="15">
        <f t="shared" si="33"/>
        <v>2737109.8361769798</v>
      </c>
      <c r="G79" s="15">
        <f t="shared" si="33"/>
        <v>2791852.0329005197</v>
      </c>
      <c r="H79" s="15">
        <f t="shared" si="33"/>
        <v>2847689.0735585303</v>
      </c>
      <c r="I79" s="15">
        <f t="shared" si="33"/>
        <v>2904642.8550297003</v>
      </c>
      <c r="J79" s="15">
        <f t="shared" si="33"/>
        <v>2962735.7121302951</v>
      </c>
      <c r="K79" s="16">
        <f t="shared" si="33"/>
        <v>3021990.4263729006</v>
      </c>
      <c r="N79" s="3581"/>
      <c r="O79" s="3583"/>
      <c r="Z79" s="1719" t="s">
        <v>6464</v>
      </c>
      <c r="AA79" s="1721">
        <v>79</v>
      </c>
    </row>
    <row r="80" spans="1:27" ht="13.35" customHeight="1">
      <c r="A80" s="17" t="s">
        <v>952</v>
      </c>
      <c r="B80" s="18">
        <f t="shared" ref="B80:K80" si="34">$B$16*(1+$B$6)^(B78-1)</f>
        <v>50573.328053685698</v>
      </c>
      <c r="C80" s="18">
        <f t="shared" si="34"/>
        <v>51584.794614759412</v>
      </c>
      <c r="D80" s="18">
        <f t="shared" si="34"/>
        <v>52616.490507054601</v>
      </c>
      <c r="E80" s="18">
        <f t="shared" si="34"/>
        <v>53668.820317195685</v>
      </c>
      <c r="F80" s="18">
        <f t="shared" si="34"/>
        <v>54742.1967235396</v>
      </c>
      <c r="G80" s="18">
        <f t="shared" si="34"/>
        <v>55837.040658010395</v>
      </c>
      <c r="H80" s="18">
        <f t="shared" si="34"/>
        <v>56953.781471170609</v>
      </c>
      <c r="I80" s="18">
        <f t="shared" si="34"/>
        <v>58092.85710059401</v>
      </c>
      <c r="J80" s="18">
        <f t="shared" si="34"/>
        <v>59254.7142426059</v>
      </c>
      <c r="K80" s="19">
        <f t="shared" si="34"/>
        <v>60439.808527458008</v>
      </c>
      <c r="N80" s="3559"/>
      <c r="O80" s="3561"/>
      <c r="Z80" s="1719" t="s">
        <v>6464</v>
      </c>
      <c r="AA80" s="1721">
        <v>80</v>
      </c>
    </row>
    <row r="81" spans="1:27" ht="13.35" customHeight="1">
      <c r="A81" s="17" t="s">
        <v>2216</v>
      </c>
      <c r="B81" s="18">
        <f t="shared" ref="B81:K81" si="35">-(B79+B80)*$B$9</f>
        <v>-128961.98653689853</v>
      </c>
      <c r="C81" s="18">
        <f t="shared" si="35"/>
        <v>-131541.22626763649</v>
      </c>
      <c r="D81" s="18">
        <f t="shared" si="35"/>
        <v>-134172.05079298923</v>
      </c>
      <c r="E81" s="18">
        <f t="shared" si="35"/>
        <v>-136855.49180884901</v>
      </c>
      <c r="F81" s="18">
        <f t="shared" si="35"/>
        <v>-139592.60164502598</v>
      </c>
      <c r="G81" s="18">
        <f t="shared" si="35"/>
        <v>-142384.4536779265</v>
      </c>
      <c r="H81" s="18">
        <f t="shared" si="35"/>
        <v>-145232.14275148505</v>
      </c>
      <c r="I81" s="18">
        <f t="shared" si="35"/>
        <v>-148136.78560651472</v>
      </c>
      <c r="J81" s="18">
        <f t="shared" si="35"/>
        <v>-151099.52131864507</v>
      </c>
      <c r="K81" s="19">
        <f t="shared" si="35"/>
        <v>-154121.51174501792</v>
      </c>
      <c r="N81" s="3559"/>
      <c r="O81" s="3561"/>
      <c r="Z81" s="1719" t="s">
        <v>6464</v>
      </c>
      <c r="AA81" s="1721">
        <v>81</v>
      </c>
    </row>
    <row r="82" spans="1:27" ht="13.35" customHeight="1">
      <c r="A82" s="17" t="s">
        <v>47</v>
      </c>
      <c r="B82" s="18">
        <f>'Part V-Revenues &amp; Expenses'!H203</f>
        <v>123190.98291618955</v>
      </c>
      <c r="C82" s="18">
        <f>'Part V-Revenues &amp; Expenses'!I203</f>
        <v>125654.80257451333</v>
      </c>
      <c r="D82" s="18">
        <f>'Part V-Revenues &amp; Expenses'!J203</f>
        <v>128167.8986260036</v>
      </c>
      <c r="E82" s="18">
        <f>'Part V-Revenues &amp; Expenses'!K203</f>
        <v>130731.25659852367</v>
      </c>
      <c r="F82" s="18">
        <f>'Part V-Revenues &amp; Expenses'!L203</f>
        <v>133345.88173049415</v>
      </c>
      <c r="G82" s="18">
        <f>'Part V-Revenues &amp; Expenses'!M203</f>
        <v>136012.79936510403</v>
      </c>
      <c r="H82" s="18">
        <f>'Part V-Revenues &amp; Expenses'!N203</f>
        <v>138733.05535240611</v>
      </c>
      <c r="I82" s="18">
        <f>'Part V-Revenues &amp; Expenses'!O203</f>
        <v>141507.71645945424</v>
      </c>
      <c r="J82" s="18">
        <f>'Part V-Revenues &amp; Expenses'!P203</f>
        <v>144337.87078864334</v>
      </c>
      <c r="K82" s="19">
        <f>'Part V-Revenues &amp; Expenses'!Q203</f>
        <v>147224.62820441622</v>
      </c>
      <c r="N82" s="3559"/>
      <c r="O82" s="3561"/>
      <c r="Z82" s="1719" t="s">
        <v>6464</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6464</v>
      </c>
      <c r="AA83" s="1721">
        <v>83</v>
      </c>
    </row>
    <row r="84" spans="1:27" ht="13.35" customHeight="1">
      <c r="A84" s="341" t="s">
        <v>3839</v>
      </c>
      <c r="B84" s="18">
        <f t="shared" ref="B84:K84" si="36">SUM(B79:B83)</f>
        <v>2573468.7271172614</v>
      </c>
      <c r="C84" s="18">
        <f t="shared" si="36"/>
        <v>2624938.1016596071</v>
      </c>
      <c r="D84" s="18">
        <f t="shared" si="36"/>
        <v>2677436.8636927987</v>
      </c>
      <c r="E84" s="18">
        <f t="shared" si="36"/>
        <v>2730985.6009666547</v>
      </c>
      <c r="F84" s="18">
        <f t="shared" si="36"/>
        <v>2785605.3129859874</v>
      </c>
      <c r="G84" s="18">
        <f t="shared" si="36"/>
        <v>2841317.4192457073</v>
      </c>
      <c r="H84" s="18">
        <f t="shared" si="36"/>
        <v>2898143.7676306218</v>
      </c>
      <c r="I84" s="18">
        <f t="shared" si="36"/>
        <v>2956106.6429832336</v>
      </c>
      <c r="J84" s="18">
        <f t="shared" si="36"/>
        <v>3015228.775842899</v>
      </c>
      <c r="K84" s="19">
        <f t="shared" si="36"/>
        <v>3075533.3513597567</v>
      </c>
      <c r="N84" s="3559"/>
      <c r="O84" s="3561"/>
      <c r="Z84" s="1719" t="s">
        <v>6464</v>
      </c>
      <c r="AA84" s="1721">
        <v>84</v>
      </c>
    </row>
    <row r="85" spans="1:27" ht="13.35" customHeight="1">
      <c r="A85" s="17" t="s">
        <v>572</v>
      </c>
      <c r="B85" s="18">
        <f t="shared" ref="B85:K85" si="37">$B$21*(1+$B$7)^(B78-1)</f>
        <v>-1440664.5078909376</v>
      </c>
      <c r="C85" s="18">
        <f t="shared" si="37"/>
        <v>-1483884.4431276657</v>
      </c>
      <c r="D85" s="18">
        <f t="shared" si="37"/>
        <v>-1528400.9764214957</v>
      </c>
      <c r="E85" s="18">
        <f t="shared" si="37"/>
        <v>-1574253.0057141406</v>
      </c>
      <c r="F85" s="18">
        <f t="shared" si="37"/>
        <v>-1621480.5958855646</v>
      </c>
      <c r="G85" s="18">
        <f t="shared" si="37"/>
        <v>-1670125.0137621316</v>
      </c>
      <c r="H85" s="18">
        <f t="shared" si="37"/>
        <v>-1720228.7641749957</v>
      </c>
      <c r="I85" s="18">
        <f t="shared" si="37"/>
        <v>-1771835.6271002453</v>
      </c>
      <c r="J85" s="18">
        <f t="shared" si="37"/>
        <v>-1824990.6959132527</v>
      </c>
      <c r="K85" s="19">
        <f t="shared" si="37"/>
        <v>-1879740.4167906502</v>
      </c>
      <c r="N85" s="3559"/>
      <c r="O85" s="3561"/>
      <c r="Z85" s="1719" t="s">
        <v>6464</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-90071</v>
      </c>
      <c r="C86" s="18">
        <f>IF(AND('Part VI-Pro Forma'!$G$9="Yes",'Part VI-Pro Forma'!$G$10="Yes"),"Choose One!",IF('Part VI-Pro Forma'!$G$9="Yes",ROUND((-$K$9*(1+'Part VI-Pro Forma'!$B$7)^('Part VI-Pro Forma'!C78-1)),),IF('Part VI-Pro Forma'!$G$10="Yes",ROUND((-(SUM(C79:C82)*'Part VI-Pro Forma'!$K$10)),),"Choose mgt fee")))</f>
        <v>-91873</v>
      </c>
      <c r="D86" s="18">
        <f>IF(AND('Part VI-Pro Forma'!$G$9="Yes",'Part VI-Pro Forma'!$G$10="Yes"),"Choose One!",IF('Part VI-Pro Forma'!$G$9="Yes",ROUND((-$K$9*(1+'Part VI-Pro Forma'!$B$7)^('Part VI-Pro Forma'!D78-1)),),IF('Part VI-Pro Forma'!$G$10="Yes",ROUND((-(SUM(D79:D82)*'Part VI-Pro Forma'!$K$10)),),"Choose mgt fee")))</f>
        <v>-93710</v>
      </c>
      <c r="E86" s="18">
        <f>IF(AND('Part VI-Pro Forma'!$G$9="Yes",'Part VI-Pro Forma'!$G$10="Yes"),"Choose One!",IF('Part VI-Pro Forma'!$G$9="Yes",ROUND((-$K$9*(1+'Part VI-Pro Forma'!$B$7)^('Part VI-Pro Forma'!E78-1)),),IF('Part VI-Pro Forma'!$G$10="Yes",ROUND((-(SUM(E79:E82)*'Part VI-Pro Forma'!$K$10)),),"Choose mgt fee")))</f>
        <v>-95584</v>
      </c>
      <c r="F86" s="18">
        <f>IF(AND('Part VI-Pro Forma'!$G$9="Yes",'Part VI-Pro Forma'!$G$10="Yes"),"Choose One!",IF('Part VI-Pro Forma'!$G$9="Yes",ROUND((-$K$9*(1+'Part VI-Pro Forma'!$B$7)^('Part VI-Pro Forma'!F78-1)),),IF('Part VI-Pro Forma'!$G$10="Yes",ROUND((-(SUM(F79:F82)*'Part VI-Pro Forma'!$K$10)),),"Choose mgt fee")))</f>
        <v>-97496</v>
      </c>
      <c r="G86" s="18">
        <f>IF(AND('Part VI-Pro Forma'!$G$9="Yes",'Part VI-Pro Forma'!$G$10="Yes"),"Choose One!",IF('Part VI-Pro Forma'!$G$9="Yes",ROUND((-$K$9*(1+'Part VI-Pro Forma'!$B$7)^('Part VI-Pro Forma'!G78-1)),),IF('Part VI-Pro Forma'!$G$10="Yes",ROUND((-(SUM(G79:G82)*'Part VI-Pro Forma'!$K$10)),),"Choose mgt fee")))</f>
        <v>-99446</v>
      </c>
      <c r="H86" s="18">
        <f>IF(AND('Part VI-Pro Forma'!$G$9="Yes",'Part VI-Pro Forma'!$G$10="Yes"),"Choose One!",IF('Part VI-Pro Forma'!$G$9="Yes",ROUND((-$K$9*(1+'Part VI-Pro Forma'!$B$7)^('Part VI-Pro Forma'!H78-1)),),IF('Part VI-Pro Forma'!$G$10="Yes",ROUND((-(SUM(H79:H82)*'Part VI-Pro Forma'!$K$10)),),"Choose mgt fee")))</f>
        <v>-101435</v>
      </c>
      <c r="I86" s="18">
        <f>IF(AND('Part VI-Pro Forma'!$G$9="Yes",'Part VI-Pro Forma'!$G$10="Yes"),"Choose One!",IF('Part VI-Pro Forma'!$G$9="Yes",ROUND((-$K$9*(1+'Part VI-Pro Forma'!$B$7)^('Part VI-Pro Forma'!I78-1)),),IF('Part VI-Pro Forma'!$G$10="Yes",ROUND((-(SUM(I79:I82)*'Part VI-Pro Forma'!$K$10)),),"Choose mgt fee")))</f>
        <v>-103464</v>
      </c>
      <c r="J86" s="18">
        <f>IF(AND('Part VI-Pro Forma'!$G$9="Yes",'Part VI-Pro Forma'!$G$10="Yes"),"Choose One!",IF('Part VI-Pro Forma'!$G$9="Yes",ROUND((-$K$9*(1+'Part VI-Pro Forma'!$B$7)^('Part VI-Pro Forma'!J78-1)),),IF('Part VI-Pro Forma'!$G$10="Yes",ROUND((-(SUM(J79:J82)*'Part VI-Pro Forma'!$K$10)),),"Choose mgt fee")))</f>
        <v>-105533</v>
      </c>
      <c r="K86" s="19">
        <f>IF(AND('Part VI-Pro Forma'!$G$9="Yes",'Part VI-Pro Forma'!$G$10="Yes"),"Choose One!",IF('Part VI-Pro Forma'!$G$9="Yes",ROUND((-$K$9*(1+'Part VI-Pro Forma'!$B$7)^('Part VI-Pro Forma'!K78-1)),),IF('Part VI-Pro Forma'!$G$10="Yes",ROUND((-(SUM(K79:K82)*'Part VI-Pro Forma'!$K$10)),),"Choose mgt fee")))</f>
        <v>-107644</v>
      </c>
      <c r="N86" s="3559"/>
      <c r="O86" s="3561"/>
      <c r="Z86" s="1719" t="s">
        <v>6464</v>
      </c>
      <c r="AA86" s="1721">
        <v>86</v>
      </c>
    </row>
    <row r="87" spans="1:27" ht="13.35" customHeight="1">
      <c r="A87" s="17" t="s">
        <v>1128</v>
      </c>
      <c r="B87" s="18">
        <f t="shared" ref="B87:K87" si="38">$B$23*(1+$B$8)^(B78-1)</f>
        <v>-102406.50700575573</v>
      </c>
      <c r="C87" s="18">
        <f t="shared" si="38"/>
        <v>-105478.7022159284</v>
      </c>
      <c r="D87" s="18">
        <f t="shared" si="38"/>
        <v>-108643.06328240625</v>
      </c>
      <c r="E87" s="18">
        <f t="shared" si="38"/>
        <v>-111902.35518087844</v>
      </c>
      <c r="F87" s="18">
        <f t="shared" si="38"/>
        <v>-115259.42583630478</v>
      </c>
      <c r="G87" s="18">
        <f t="shared" si="38"/>
        <v>-118717.20861139393</v>
      </c>
      <c r="H87" s="18">
        <f t="shared" si="38"/>
        <v>-122278.72486973576</v>
      </c>
      <c r="I87" s="18">
        <f t="shared" si="38"/>
        <v>-125947.08661582782</v>
      </c>
      <c r="J87" s="18">
        <f t="shared" si="38"/>
        <v>-129725.49921430265</v>
      </c>
      <c r="K87" s="19">
        <f t="shared" si="38"/>
        <v>-133617.26419073172</v>
      </c>
      <c r="N87" s="3559"/>
      <c r="O87" s="3561"/>
      <c r="Q87" s="92"/>
      <c r="R87" s="869"/>
      <c r="S87" s="869"/>
      <c r="Z87" s="1719" t="s">
        <v>6464</v>
      </c>
      <c r="AA87" s="1721">
        <v>87</v>
      </c>
    </row>
    <row r="88" spans="1:27" ht="13.35"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6464</v>
      </c>
      <c r="AA88" s="1721">
        <v>88</v>
      </c>
    </row>
    <row r="89" spans="1:27" ht="13.35" customHeight="1">
      <c r="A89" s="17" t="s">
        <v>1129</v>
      </c>
      <c r="B89" s="18">
        <f t="shared" ref="B89:K89" si="39">SUM(B84:B88)</f>
        <v>940326.71222056798</v>
      </c>
      <c r="C89" s="18">
        <f t="shared" si="39"/>
        <v>943701.95631601312</v>
      </c>
      <c r="D89" s="18">
        <f t="shared" si="39"/>
        <v>946682.82398889679</v>
      </c>
      <c r="E89" s="18">
        <f t="shared" si="39"/>
        <v>949246.24007163569</v>
      </c>
      <c r="F89" s="18">
        <f t="shared" si="39"/>
        <v>951369.29126411804</v>
      </c>
      <c r="G89" s="18">
        <f t="shared" si="39"/>
        <v>953029.19687218184</v>
      </c>
      <c r="H89" s="18">
        <f t="shared" si="39"/>
        <v>954201.27858589031</v>
      </c>
      <c r="I89" s="18">
        <f t="shared" si="39"/>
        <v>954859.92926716036</v>
      </c>
      <c r="J89" s="18">
        <f t="shared" si="39"/>
        <v>954979.58071534371</v>
      </c>
      <c r="K89" s="1215">
        <f t="shared" si="39"/>
        <v>954531.67037837475</v>
      </c>
      <c r="N89" s="3559"/>
      <c r="O89" s="3561"/>
      <c r="Z89" s="1719" t="s">
        <v>6464</v>
      </c>
      <c r="AA89" s="1721">
        <v>89</v>
      </c>
    </row>
    <row r="90" spans="1:27" ht="13.35" customHeight="1">
      <c r="A90" s="17" t="str">
        <f>$A58</f>
        <v>Mortgage A</v>
      </c>
      <c r="B90" s="342">
        <f>IF('Part II-Sources of Funds'!$P$40="", 0,-'Part II-Sources of Funds'!$P$40)</f>
        <v>-634763.60500293621</v>
      </c>
      <c r="C90" s="342">
        <f>IF('Part II-Sources of Funds'!$P$40="", 0,-'Part II-Sources of Funds'!$P$40)</f>
        <v>-634763.60500293621</v>
      </c>
      <c r="D90" s="342">
        <f>IF('Part II-Sources of Funds'!$P$40="", 0,-'Part II-Sources of Funds'!$P$40)</f>
        <v>-634763.60500293621</v>
      </c>
      <c r="E90" s="342">
        <f>IF('Part II-Sources of Funds'!$P$40="", 0,-'Part II-Sources of Funds'!$P$40)</f>
        <v>-634763.60500293621</v>
      </c>
      <c r="F90" s="342">
        <f>IF('Part II-Sources of Funds'!$P$40="", 0,-'Part II-Sources of Funds'!$P$40)</f>
        <v>-634763.60500293621</v>
      </c>
      <c r="G90" s="342">
        <f>IF('Part II-Sources of Funds'!$P$40="", 0,-'Part II-Sources of Funds'!$P$40)</f>
        <v>-634763.60500293621</v>
      </c>
      <c r="H90" s="342">
        <f>IF('Part II-Sources of Funds'!$P$40="", 0,-'Part II-Sources of Funds'!$P$40)</f>
        <v>-634763.60500293621</v>
      </c>
      <c r="I90" s="342">
        <f>IF('Part II-Sources of Funds'!$P$40="", 0,-'Part II-Sources of Funds'!$P$40)</f>
        <v>-634763.60500293621</v>
      </c>
      <c r="J90" s="342">
        <f>IF('Part II-Sources of Funds'!$P$40="", 0,-'Part II-Sources of Funds'!$P$40)</f>
        <v>-634763.60500293621</v>
      </c>
      <c r="K90" s="342">
        <f>IF('Part II-Sources of Funds'!$P$40="", 0,-'Part II-Sources of Funds'!$P$40)</f>
        <v>-634763.60500293621</v>
      </c>
      <c r="N90" s="3559"/>
      <c r="O90" s="3561"/>
      <c r="Z90" s="1719" t="s">
        <v>6464</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6464</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6464</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6464</v>
      </c>
      <c r="AA93" s="1721">
        <v>93</v>
      </c>
    </row>
    <row r="94" spans="1:27" ht="13.35" customHeight="1">
      <c r="A94" s="17" t="s">
        <v>711</v>
      </c>
      <c r="B94" s="138"/>
      <c r="C94" s="138"/>
      <c r="D94" s="138"/>
      <c r="E94" s="138"/>
      <c r="F94" s="138"/>
      <c r="G94" s="138"/>
      <c r="H94" s="138"/>
      <c r="I94" s="138"/>
      <c r="J94" s="138"/>
      <c r="K94" s="138"/>
      <c r="N94" s="3559"/>
      <c r="O94" s="3561"/>
      <c r="Z94" s="1719" t="s">
        <v>6464</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9"/>
      <c r="O95" s="3561"/>
      <c r="Z95" s="1719" t="s">
        <v>6464</v>
      </c>
      <c r="AA95" s="1721">
        <v>95</v>
      </c>
    </row>
    <row r="96" spans="1:27" ht="13.35" customHeight="1">
      <c r="A96" s="17" t="s">
        <v>1096</v>
      </c>
      <c r="B96" s="18">
        <f t="shared" ref="B96:K96" si="41">SUM(B89:B95)</f>
        <v>298063.10721763177</v>
      </c>
      <c r="C96" s="18">
        <f t="shared" si="41"/>
        <v>301438.35131307691</v>
      </c>
      <c r="D96" s="18">
        <f t="shared" si="41"/>
        <v>304419.21898596059</v>
      </c>
      <c r="E96" s="18">
        <f t="shared" si="41"/>
        <v>306982.63506869948</v>
      </c>
      <c r="F96" s="18">
        <f t="shared" si="41"/>
        <v>309105.68626118184</v>
      </c>
      <c r="G96" s="18">
        <f t="shared" si="41"/>
        <v>310765.59186924563</v>
      </c>
      <c r="H96" s="18">
        <f t="shared" si="41"/>
        <v>311937.6735829541</v>
      </c>
      <c r="I96" s="18">
        <f t="shared" si="41"/>
        <v>312596.32426422415</v>
      </c>
      <c r="J96" s="18">
        <f t="shared" si="41"/>
        <v>312715.9757124075</v>
      </c>
      <c r="K96" s="19">
        <f t="shared" si="41"/>
        <v>312268.06537543854</v>
      </c>
      <c r="N96" s="3559"/>
      <c r="O96" s="3561"/>
      <c r="Z96" s="1719" t="s">
        <v>6464</v>
      </c>
      <c r="AA96" s="1721">
        <v>96</v>
      </c>
    </row>
    <row r="97" spans="1:27" ht="13.35" customHeight="1">
      <c r="A97" s="17" t="str">
        <f>$A66</f>
        <v>DCR Mortgage A</v>
      </c>
      <c r="B97" s="20">
        <f t="shared" ref="B97:K97" si="42">IF(B90=0,"",-B89/B90)</f>
        <v>1.4813809500250386</v>
      </c>
      <c r="C97" s="20">
        <f t="shared" si="42"/>
        <v>1.4866982745673452</v>
      </c>
      <c r="D97" s="20">
        <f t="shared" si="42"/>
        <v>1.4913943025837433</v>
      </c>
      <c r="E97" s="20">
        <f t="shared" si="42"/>
        <v>1.4954326816945418</v>
      </c>
      <c r="F97" s="20">
        <f t="shared" si="42"/>
        <v>1.4987773145243848</v>
      </c>
      <c r="G97" s="20">
        <f t="shared" si="42"/>
        <v>1.501392312603955</v>
      </c>
      <c r="H97" s="20">
        <f t="shared" si="42"/>
        <v>1.5032387979797242</v>
      </c>
      <c r="I97" s="20">
        <f t="shared" si="42"/>
        <v>1.5042764294319355</v>
      </c>
      <c r="J97" s="20">
        <f t="shared" si="42"/>
        <v>1.5044649270824628</v>
      </c>
      <c r="K97" s="21">
        <f t="shared" si="42"/>
        <v>1.5037592937830129</v>
      </c>
      <c r="N97" s="3559"/>
      <c r="O97" s="3561"/>
      <c r="Z97" s="1719" t="s">
        <v>6464</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6464</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6464</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6464</v>
      </c>
      <c r="AA100" s="1721">
        <v>100</v>
      </c>
    </row>
    <row r="101" spans="1:27" ht="13.35" customHeight="1">
      <c r="A101" s="341" t="s">
        <v>3214</v>
      </c>
      <c r="B101" s="20">
        <f t="shared" ref="B101:K101" si="46">IF(AND(B90=0,B91=0,B92=0,B93=0),"",-B89/(B90+B91+B92+B93))</f>
        <v>1.4813809500250386</v>
      </c>
      <c r="C101" s="20">
        <f t="shared" si="46"/>
        <v>1.4866982745673452</v>
      </c>
      <c r="D101" s="20">
        <f t="shared" si="46"/>
        <v>1.4913943025837433</v>
      </c>
      <c r="E101" s="20">
        <f t="shared" si="46"/>
        <v>1.4954326816945418</v>
      </c>
      <c r="F101" s="20">
        <f t="shared" si="46"/>
        <v>1.4987773145243848</v>
      </c>
      <c r="G101" s="20">
        <f t="shared" si="46"/>
        <v>1.501392312603955</v>
      </c>
      <c r="H101" s="20">
        <f t="shared" si="46"/>
        <v>1.5032387979797242</v>
      </c>
      <c r="I101" s="20">
        <f t="shared" si="46"/>
        <v>1.5042764294319355</v>
      </c>
      <c r="J101" s="20">
        <f t="shared" si="46"/>
        <v>1.5044649270824628</v>
      </c>
      <c r="K101" s="21">
        <f t="shared" si="46"/>
        <v>1.5037592937830129</v>
      </c>
      <c r="N101" s="3559"/>
      <c r="O101" s="3561"/>
      <c r="Z101" s="1719" t="s">
        <v>6464</v>
      </c>
      <c r="AA101" s="1721">
        <v>101</v>
      </c>
    </row>
    <row r="102" spans="1:27" ht="13.35" customHeight="1">
      <c r="A102" s="17" t="s">
        <v>718</v>
      </c>
      <c r="B102" s="220">
        <f>IF(OR(B86="Choose mgt fee",B86="Choose One!"),"",(B79+B80+B81+B82+B83) / -(B85+B86+B87))</f>
        <v>1.5757776749623635</v>
      </c>
      <c r="C102" s="220">
        <f t="shared" ref="C102:K102" si="47">IF(OR(C86="Choose mgt fee",C86="Choose One!"),"",(C79+C80+C81+C82+C83) / -(C85+C86+C87))</f>
        <v>1.5613143394101541</v>
      </c>
      <c r="D102" s="220">
        <f t="shared" si="47"/>
        <v>1.5469770991554963</v>
      </c>
      <c r="E102" s="220">
        <f t="shared" si="47"/>
        <v>1.5327638042383493</v>
      </c>
      <c r="F102" s="220">
        <f t="shared" si="47"/>
        <v>1.5186733222974382</v>
      </c>
      <c r="G102" s="220">
        <f t="shared" si="47"/>
        <v>1.5047053651980367</v>
      </c>
      <c r="H102" s="220">
        <f t="shared" si="47"/>
        <v>1.4908588005886905</v>
      </c>
      <c r="I102" s="220">
        <f t="shared" si="47"/>
        <v>1.477132540792085</v>
      </c>
      <c r="J102" s="220">
        <f t="shared" si="47"/>
        <v>1.4635262486566429</v>
      </c>
      <c r="K102" s="221">
        <f t="shared" si="47"/>
        <v>1.4500381489262733</v>
      </c>
      <c r="N102" s="3559"/>
      <c r="O102" s="3561"/>
      <c r="Z102" s="1719" t="s">
        <v>6464</v>
      </c>
      <c r="AA102" s="1721">
        <v>102</v>
      </c>
    </row>
    <row r="103" spans="1:27" ht="13.35" customHeight="1">
      <c r="A103" s="341" t="s">
        <v>2405</v>
      </c>
      <c r="B103" s="177">
        <f>IF('Part II-Sources of Funds'!$I$40="","",-FV('Part II-Sources of Funds'!$K$40/12,12,B90/12,K72))</f>
        <v>7775789.6363336956</v>
      </c>
      <c r="C103" s="177">
        <f>IF('Part II-Sources of Funds'!$I$40="","",-FV('Part II-Sources of Funds'!$K$40/12,12,C90/12,B103))</f>
        <v>7524099.5768936174</v>
      </c>
      <c r="D103" s="177">
        <f>IF('Part II-Sources of Funds'!$I$40="","",-FV('Part II-Sources of Funds'!$K$40/12,12,D90/12,C103))</f>
        <v>7259532.576334618</v>
      </c>
      <c r="E103" s="177">
        <f>IF('Part II-Sources of Funds'!$I$40="","",-FV('Part II-Sources of Funds'!$K$40/12,12,E90/12,D103))</f>
        <v>6981429.8259101426</v>
      </c>
      <c r="F103" s="177">
        <f>IF('Part II-Sources of Funds'!$I$40="","",-FV('Part II-Sources of Funds'!$K$40/12,12,F90/12,E103))</f>
        <v>6689098.8109678207</v>
      </c>
      <c r="G103" s="177">
        <f>IF('Part II-Sources of Funds'!$I$40="","",-FV('Part II-Sources of Funds'!$K$40/12,12,G90/12,F103))</f>
        <v>6381811.5864913566</v>
      </c>
      <c r="H103" s="177">
        <f>IF('Part II-Sources of Funds'!$I$40="","",-FV('Part II-Sources of Funds'!$K$40/12,12,H90/12,G103))</f>
        <v>6058802.964415866</v>
      </c>
      <c r="I103" s="177">
        <f>IF('Part II-Sources of Funds'!$I$40="","",-FV('Part II-Sources of Funds'!$K$40/12,12,I90/12,H103))</f>
        <v>5719268.60820283</v>
      </c>
      <c r="J103" s="177">
        <f>IF('Part II-Sources of Funds'!$I$40="","",-FV('Part II-Sources of Funds'!$K$40/12,12,J90/12,I103))</f>
        <v>5362363.0299298828</v>
      </c>
      <c r="K103" s="177">
        <f>IF('Part II-Sources of Funds'!$I$40="","",-FV('Part II-Sources of Funds'!$K$40/12,12,K90/12,J103))</f>
        <v>4987197.484907914</v>
      </c>
      <c r="N103" s="3559"/>
      <c r="O103" s="3561"/>
      <c r="Z103" s="1719" t="s">
        <v>6464</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6464</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6464</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6464</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3206</v>
      </c>
      <c r="O108" s="3247"/>
      <c r="AA108" s="1721">
        <v>108</v>
      </c>
    </row>
    <row r="109" spans="1:27" ht="13.35" customHeight="1">
      <c r="A109" s="14" t="s">
        <v>2215</v>
      </c>
      <c r="B109" s="15">
        <f>$B$15*(1+$B$6)^(B108-1)</f>
        <v>3082430.2349003586</v>
      </c>
      <c r="C109" s="15">
        <f>$B$15*(1+$B$6)^(C108-1)</f>
        <v>3144078.8395983651</v>
      </c>
      <c r="D109" s="15">
        <f>$B$15*(1+$B$6)^(D108-1)</f>
        <v>3206960.4163903329</v>
      </c>
      <c r="E109" s="15">
        <f>$B$15*(1+$B$6)^(E108-1)</f>
        <v>3271099.6247181399</v>
      </c>
      <c r="F109" s="497">
        <f>$B$15*(1+$B$6)^(F108-1)</f>
        <v>3336521.6172125023</v>
      </c>
      <c r="G109" s="13"/>
      <c r="H109" s="13"/>
      <c r="I109" s="13"/>
      <c r="J109" s="13"/>
      <c r="K109" s="13"/>
      <c r="N109" s="3581"/>
      <c r="O109" s="3583"/>
      <c r="Z109" s="1719" t="s">
        <v>6465</v>
      </c>
      <c r="AA109" s="1721">
        <v>109</v>
      </c>
    </row>
    <row r="110" spans="1:27" ht="13.35" customHeight="1">
      <c r="A110" s="17" t="s">
        <v>952</v>
      </c>
      <c r="B110" s="18">
        <f>$B$16*(1+$B$6)^(B108-1)</f>
        <v>61648.604698007177</v>
      </c>
      <c r="C110" s="18">
        <f>$B$16*(1+$B$6)^(C108-1)</f>
        <v>62881.576791967302</v>
      </c>
      <c r="D110" s="18">
        <f>$B$16*(1+$B$6)^(D108-1)</f>
        <v>64139.208327806664</v>
      </c>
      <c r="E110" s="18">
        <f>$B$16*(1+$B$6)^(E108-1)</f>
        <v>65421.992494362799</v>
      </c>
      <c r="F110" s="19">
        <f>$B$16*(1+$B$6)^(F108-1)</f>
        <v>66730.432344250046</v>
      </c>
      <c r="G110" s="13"/>
      <c r="H110" s="13"/>
      <c r="I110" s="13"/>
      <c r="J110" s="13"/>
      <c r="K110" s="13"/>
      <c r="N110" s="3559"/>
      <c r="O110" s="3561"/>
      <c r="Z110" s="1719" t="s">
        <v>6465</v>
      </c>
      <c r="AA110" s="1721">
        <v>110</v>
      </c>
    </row>
    <row r="111" spans="1:27" ht="13.35" customHeight="1">
      <c r="A111" s="17" t="s">
        <v>2216</v>
      </c>
      <c r="B111" s="18">
        <f>-(B109+B110)*$B$9</f>
        <v>-157203.94197991828</v>
      </c>
      <c r="C111" s="18">
        <f>-(C109+C110)*$B$9</f>
        <v>-160348.02081951662</v>
      </c>
      <c r="D111" s="18">
        <f>-(D109+D110)*$B$9</f>
        <v>-163554.98123590698</v>
      </c>
      <c r="E111" s="18">
        <f>-(E109+E110)*$B$9</f>
        <v>-166826.08086062514</v>
      </c>
      <c r="F111" s="19">
        <f>-(F109+F110)*$B$9</f>
        <v>-170162.60247783762</v>
      </c>
      <c r="G111" s="13"/>
      <c r="H111" s="13"/>
      <c r="I111" s="13"/>
      <c r="J111" s="13"/>
      <c r="K111" s="13"/>
      <c r="N111" s="3559"/>
      <c r="O111" s="3561"/>
      <c r="Z111" s="1719" t="s">
        <v>6465</v>
      </c>
      <c r="AA111" s="1721">
        <v>111</v>
      </c>
    </row>
    <row r="112" spans="1:27" ht="13.35" customHeight="1">
      <c r="A112" s="17" t="s">
        <v>47</v>
      </c>
      <c r="B112" s="18">
        <f>'Part V-Revenues &amp; Expenses'!H212</f>
        <v>150169.12076850454</v>
      </c>
      <c r="C112" s="18">
        <f>'Part V-Revenues &amp; Expenses'!I212</f>
        <v>153172.50318387462</v>
      </c>
      <c r="D112" s="18">
        <f>'Part V-Revenues &amp; Expenses'!J212</f>
        <v>156235.95324755213</v>
      </c>
      <c r="E112" s="18">
        <f>'Part V-Revenues &amp; Expenses'!K212</f>
        <v>159360.67231250319</v>
      </c>
      <c r="F112" s="19">
        <f>'Part V-Revenues &amp; Expenses'!L212</f>
        <v>162547.88575875325</v>
      </c>
      <c r="G112" s="13"/>
      <c r="H112" s="13"/>
      <c r="I112" s="13"/>
      <c r="J112" s="13"/>
      <c r="K112" s="13"/>
      <c r="N112" s="3559"/>
      <c r="O112" s="3561"/>
      <c r="Z112" s="1719" t="s">
        <v>6465</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6465</v>
      </c>
      <c r="AA113" s="1721">
        <v>113</v>
      </c>
    </row>
    <row r="114" spans="1:27" ht="13.35" customHeight="1">
      <c r="A114" s="341" t="s">
        <v>3839</v>
      </c>
      <c r="B114" s="18">
        <f>SUM(B109:B113)</f>
        <v>3137044.0183869521</v>
      </c>
      <c r="C114" s="18">
        <f>SUM(C109:C113)</f>
        <v>3199784.8987546903</v>
      </c>
      <c r="D114" s="18">
        <f>SUM(D109:D113)</f>
        <v>3263780.5967297847</v>
      </c>
      <c r="E114" s="18">
        <f>SUM(E109:E113)</f>
        <v>3329056.2086643809</v>
      </c>
      <c r="F114" s="19">
        <f>SUM(F109:F113)</f>
        <v>3395637.3328376678</v>
      </c>
      <c r="G114" s="13"/>
      <c r="H114" s="13"/>
      <c r="I114" s="13"/>
      <c r="J114" s="13"/>
      <c r="K114" s="13"/>
      <c r="N114" s="3559"/>
      <c r="O114" s="3561"/>
      <c r="Z114" s="1719" t="s">
        <v>6465</v>
      </c>
      <c r="AA114" s="1721">
        <v>114</v>
      </c>
    </row>
    <row r="115" spans="1:27" ht="13.35" customHeight="1">
      <c r="A115" s="17" t="s">
        <v>572</v>
      </c>
      <c r="B115" s="18">
        <f>$B$21*(1+$B$7)^(B108-1)</f>
        <v>-1936132.6292943696</v>
      </c>
      <c r="C115" s="18">
        <f>$B$21*(1+$B$7)^(C108-1)</f>
        <v>-1994216.6081732011</v>
      </c>
      <c r="D115" s="18">
        <f>$B$21*(1+$B$7)^(D108-1)</f>
        <v>-2054043.1064183968</v>
      </c>
      <c r="E115" s="18">
        <f>$B$21*(1+$B$7)^(E108-1)</f>
        <v>-2115664.3996109487</v>
      </c>
      <c r="F115" s="19">
        <f>$B$21*(1+$B$7)^(F108-1)</f>
        <v>-2179134.331599277</v>
      </c>
      <c r="G115" s="13"/>
      <c r="H115" s="13"/>
      <c r="I115" s="13"/>
      <c r="J115" s="13"/>
      <c r="K115" s="13"/>
      <c r="N115" s="3559"/>
      <c r="O115" s="3561"/>
      <c r="Z115" s="1719" t="s">
        <v>6465</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-109797</v>
      </c>
      <c r="C116" s="18">
        <f>IF(AND('Part VI-Pro Forma'!$G$9="Yes",'Part VI-Pro Forma'!$G$10="Yes"),"Choose One!",IF('Part VI-Pro Forma'!$G$9="Yes",ROUND((-$K$9*(1+'Part VI-Pro Forma'!$B$7)^('Part VI-Pro Forma'!C108-1)),),IF('Part VI-Pro Forma'!$G$10="Yes",ROUND((-(SUM(C109:C112)*'Part VI-Pro Forma'!$K$10)),),"Choose mgt fee")))</f>
        <v>-111992</v>
      </c>
      <c r="D116" s="18">
        <f>IF(AND('Part VI-Pro Forma'!$G$9="Yes",'Part VI-Pro Forma'!$G$10="Yes"),"Choose One!",IF('Part VI-Pro Forma'!$G$9="Yes",ROUND((-$K$9*(1+'Part VI-Pro Forma'!$B$7)^('Part VI-Pro Forma'!D108-1)),),IF('Part VI-Pro Forma'!$G$10="Yes",ROUND((-(SUM(D109:D112)*'Part VI-Pro Forma'!$K$10)),),"Choose mgt fee")))</f>
        <v>-114232</v>
      </c>
      <c r="E116" s="18">
        <f>IF(AND('Part VI-Pro Forma'!$G$9="Yes",'Part VI-Pro Forma'!$G$10="Yes"),"Choose One!",IF('Part VI-Pro Forma'!$G$9="Yes",ROUND((-$K$9*(1+'Part VI-Pro Forma'!$B$7)^('Part VI-Pro Forma'!E108-1)),),IF('Part VI-Pro Forma'!$G$10="Yes",ROUND((-(SUM(E109:E112)*'Part VI-Pro Forma'!$K$10)),),"Choose mgt fee")))</f>
        <v>-116517</v>
      </c>
      <c r="F116" s="19">
        <f>IF(AND('Part VI-Pro Forma'!$G$9="Yes",'Part VI-Pro Forma'!$G$10="Yes"),"Choose One!",IF('Part VI-Pro Forma'!$G$9="Yes",ROUND((-$K$9*(1+'Part VI-Pro Forma'!$B$7)^('Part VI-Pro Forma'!F108-1)),),IF('Part VI-Pro Forma'!$G$10="Yes",ROUND((-(SUM(F109:F112)*'Part VI-Pro Forma'!$K$10)),),"Choose mgt fee")))</f>
        <v>-118847</v>
      </c>
      <c r="G116" s="13"/>
      <c r="H116" s="13"/>
      <c r="I116" s="13"/>
      <c r="J116" s="13"/>
      <c r="K116" s="13"/>
      <c r="N116" s="3559"/>
      <c r="O116" s="3561"/>
      <c r="Z116" s="1719" t="s">
        <v>6465</v>
      </c>
      <c r="AA116" s="1721">
        <v>116</v>
      </c>
    </row>
    <row r="117" spans="1:27" ht="13.35" customHeight="1">
      <c r="A117" s="17" t="s">
        <v>1128</v>
      </c>
      <c r="B117" s="18">
        <f>$B$23*(1+$B$8)^(B108-1)</f>
        <v>-137625.78211645366</v>
      </c>
      <c r="C117" s="18">
        <f>$B$23*(1+$B$8)^(C108-1)</f>
        <v>-141754.55557994731</v>
      </c>
      <c r="D117" s="18">
        <f>$B$23*(1+$B$8)^(D108-1)</f>
        <v>-146007.19224734569</v>
      </c>
      <c r="E117" s="18">
        <f>$B$23*(1+$B$8)^(E108-1)</f>
        <v>-150387.40801476609</v>
      </c>
      <c r="F117" s="19">
        <f>$B$23*(1+$B$8)^(F108-1)</f>
        <v>-154899.03025520904</v>
      </c>
      <c r="G117" s="13"/>
      <c r="H117" s="13"/>
      <c r="I117" s="13"/>
      <c r="J117" s="13"/>
      <c r="K117" s="13"/>
      <c r="N117" s="3559"/>
      <c r="O117" s="3561"/>
      <c r="Q117" s="92">
        <v>10</v>
      </c>
      <c r="R117" s="869">
        <f>-SUM(B123:K123)</f>
        <v>0</v>
      </c>
      <c r="S117" s="869">
        <f>SUM(B124:K124)+R117</f>
        <v>0</v>
      </c>
      <c r="Z117" s="1719" t="s">
        <v>6465</v>
      </c>
      <c r="AA117" s="1721">
        <v>117</v>
      </c>
    </row>
    <row r="118" spans="1:27" ht="13.35"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6465</v>
      </c>
      <c r="AA118" s="1721">
        <v>118</v>
      </c>
    </row>
    <row r="119" spans="1:27" ht="13.35" customHeight="1">
      <c r="A119" s="17" t="s">
        <v>1129</v>
      </c>
      <c r="B119" s="18">
        <f>SUM(B114:B118)</f>
        <v>953488.60697612888</v>
      </c>
      <c r="C119" s="18">
        <f>SUM(C114:C118)</f>
        <v>951821.73500154191</v>
      </c>
      <c r="D119" s="18">
        <f>SUM(D114:D118)</f>
        <v>949498.29806404223</v>
      </c>
      <c r="E119" s="18">
        <f>SUM(E114:E118)</f>
        <v>946487.40103866614</v>
      </c>
      <c r="F119" s="1215">
        <f>SUM(F114:F118)</f>
        <v>942756.97098318173</v>
      </c>
      <c r="G119" s="13"/>
      <c r="H119" s="13"/>
      <c r="I119" s="13"/>
      <c r="J119" s="13"/>
      <c r="K119" s="13"/>
      <c r="N119" s="3559"/>
      <c r="O119" s="3561"/>
      <c r="Z119" s="1719" t="s">
        <v>6465</v>
      </c>
      <c r="AA119" s="1721">
        <v>119</v>
      </c>
    </row>
    <row r="120" spans="1:27" ht="13.35" customHeight="1">
      <c r="A120" s="17" t="str">
        <f>$A90</f>
        <v>Mortgage A</v>
      </c>
      <c r="B120" s="342">
        <f>IF('Part II-Sources of Funds'!$P$40="", 0,-'Part II-Sources of Funds'!$P$40)</f>
        <v>-634763.60500293621</v>
      </c>
      <c r="C120" s="342">
        <f>IF('Part II-Sources of Funds'!$P$40="", 0,-'Part II-Sources of Funds'!$P$40)</f>
        <v>-634763.60500293621</v>
      </c>
      <c r="D120" s="342">
        <f>IF('Part II-Sources of Funds'!$P$40="", 0,-'Part II-Sources of Funds'!$P$40)</f>
        <v>-634763.60500293621</v>
      </c>
      <c r="E120" s="342">
        <f>IF('Part II-Sources of Funds'!$P$40="", 0,-'Part II-Sources of Funds'!$P$40)</f>
        <v>-634763.60500293621</v>
      </c>
      <c r="F120" s="342">
        <f>IF('Part II-Sources of Funds'!$P$40="", 0,-'Part II-Sources of Funds'!$P$40)</f>
        <v>-634763.60500293621</v>
      </c>
      <c r="G120" s="13"/>
      <c r="H120" s="13"/>
      <c r="I120" s="13"/>
      <c r="J120" s="13"/>
      <c r="K120" s="13"/>
      <c r="N120" s="3559"/>
      <c r="O120" s="3561"/>
      <c r="Z120" s="1719" t="s">
        <v>6465</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6465</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6465</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6465</v>
      </c>
      <c r="AA123" s="1721">
        <v>123</v>
      </c>
    </row>
    <row r="124" spans="1:27" ht="13.35" customHeight="1">
      <c r="A124" s="17" t="s">
        <v>711</v>
      </c>
      <c r="B124" s="138"/>
      <c r="C124" s="138"/>
      <c r="D124" s="138"/>
      <c r="E124" s="138"/>
      <c r="F124" s="138"/>
      <c r="G124" s="13"/>
      <c r="H124" s="13"/>
      <c r="I124" s="13"/>
      <c r="J124" s="13"/>
      <c r="K124" s="13"/>
      <c r="N124" s="3559"/>
      <c r="O124" s="3561"/>
      <c r="Z124" s="1719" t="s">
        <v>6465</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9"/>
      <c r="O125" s="3561"/>
      <c r="Z125" s="1719" t="s">
        <v>6465</v>
      </c>
      <c r="AA125" s="1721">
        <v>125</v>
      </c>
    </row>
    <row r="126" spans="1:27" ht="13.35" customHeight="1">
      <c r="A126" s="17" t="s">
        <v>1096</v>
      </c>
      <c r="B126" s="18">
        <f>SUM(B119:B125)</f>
        <v>311225.00197319267</v>
      </c>
      <c r="C126" s="18">
        <f>SUM(C119:C125)</f>
        <v>309558.1299986057</v>
      </c>
      <c r="D126" s="18">
        <f>SUM(D119:D125)</f>
        <v>307234.69306110602</v>
      </c>
      <c r="E126" s="18">
        <f>SUM(E119:E125)</f>
        <v>304223.79603572993</v>
      </c>
      <c r="F126" s="19">
        <f>SUM(F119:F125)</f>
        <v>300493.36598024552</v>
      </c>
      <c r="G126" s="13"/>
      <c r="H126" s="13"/>
      <c r="I126" s="13"/>
      <c r="J126" s="13"/>
      <c r="K126" s="13"/>
      <c r="N126" s="3559"/>
      <c r="O126" s="3561"/>
      <c r="Z126" s="1719" t="s">
        <v>6465</v>
      </c>
      <c r="AA126" s="1721">
        <v>126</v>
      </c>
    </row>
    <row r="127" spans="1:27" ht="13.35" customHeight="1">
      <c r="A127" s="17" t="str">
        <f>$A97</f>
        <v>DCR Mortgage A</v>
      </c>
      <c r="B127" s="20">
        <f>IF(B120=0,"",-B119/B120)</f>
        <v>1.5021160625170347</v>
      </c>
      <c r="C127" s="20">
        <f>IF(C120=0,"",-C119/C120)</f>
        <v>1.499490089695894</v>
      </c>
      <c r="D127" s="20">
        <f>IF(D120=0,"",-D119/D120)</f>
        <v>1.4958297712416107</v>
      </c>
      <c r="E127" s="20">
        <f>IF(E120=0,"",-E119/E120)</f>
        <v>1.4910864352947393</v>
      </c>
      <c r="F127" s="21">
        <f>IF(F120=0,"",-F119/F120)</f>
        <v>1.4852095544747259</v>
      </c>
      <c r="G127" s="13"/>
      <c r="H127" s="13"/>
      <c r="I127" s="13"/>
      <c r="J127" s="13"/>
      <c r="K127" s="13"/>
      <c r="N127" s="3559"/>
      <c r="O127" s="3561"/>
      <c r="Z127" s="1719" t="s">
        <v>6465</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6465</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6465</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6465</v>
      </c>
      <c r="AA130" s="1721">
        <v>130</v>
      </c>
    </row>
    <row r="131" spans="1:27" ht="13.35" customHeight="1">
      <c r="A131" s="341" t="s">
        <v>3214</v>
      </c>
      <c r="B131" s="20">
        <f>IF(AND(B120=0,B121=0,B122=0,B123=0),"",-B119/(B120+B121+B122+B123))</f>
        <v>1.5021160625170347</v>
      </c>
      <c r="C131" s="20">
        <f>IF(AND(C120=0,C121=0,C122=0,C123=0),"",-C119/(C120+C121+C122+C123))</f>
        <v>1.499490089695894</v>
      </c>
      <c r="D131" s="20">
        <f>IF(AND(D120=0,D121=0,D122=0,D123=0),"",-D119/(D120+D121+D122+D123))</f>
        <v>1.4958297712416107</v>
      </c>
      <c r="E131" s="20">
        <f>IF(AND(E120=0,E121=0,E122=0,E123=0),"",-E119/(E120+E121+E122+E123))</f>
        <v>1.4910864352947393</v>
      </c>
      <c r="F131" s="21">
        <f>IF(AND(F120=0,F121=0,F122=0,F123=0),"",-F119/(F120+F121+F122+F123))</f>
        <v>1.4852095544747259</v>
      </c>
      <c r="G131" s="13"/>
      <c r="H131" s="13"/>
      <c r="I131" s="13"/>
      <c r="J131" s="13"/>
      <c r="K131" s="13"/>
      <c r="N131" s="3559"/>
      <c r="O131" s="3561"/>
      <c r="Z131" s="1719" t="s">
        <v>6465</v>
      </c>
      <c r="AA131" s="1721">
        <v>131</v>
      </c>
    </row>
    <row r="132" spans="1:27" ht="13.35" customHeight="1">
      <c r="A132" s="17" t="s">
        <v>718</v>
      </c>
      <c r="B132" s="220">
        <f>IF(OR(B116="Choose mgt fee",B116="Choose One!"),"",(B109+B110+B111+B112+B113) / -(B115+B116+B117))</f>
        <v>1.4366679233297164</v>
      </c>
      <c r="C132" s="220">
        <f>IF(OR(C116="Choose mgt fee",C116="Choose One!"),"",(C109+C110+C111+C112+C113) / -(C115+C116+C117))</f>
        <v>1.4234151832863677</v>
      </c>
      <c r="D132" s="220">
        <f>IF(OR(D116="Choose mgt fee",D116="Choose One!"),"",(D109+D110+D111+D112+D113) / -(D115+D116+D117))</f>
        <v>1.410277647896049</v>
      </c>
      <c r="E132" s="220">
        <f>IF(OR(E116="Choose mgt fee",E116="Choose One!"),"",(E109+E110+E111+E112+E113) / -(E115+E116+E117))</f>
        <v>1.397255012325064</v>
      </c>
      <c r="F132" s="498">
        <f>IF(OR(F116="Choose mgt fee",F116="Choose One!"),"",(F109+F110+F111+F112+F113) / -(F115+F116+F117))</f>
        <v>1.3843469031936053</v>
      </c>
      <c r="G132" s="13"/>
      <c r="H132" s="13"/>
      <c r="I132" s="13"/>
      <c r="J132" s="13"/>
      <c r="K132" s="13"/>
      <c r="N132" s="3559"/>
      <c r="O132" s="3561"/>
      <c r="Z132" s="1719" t="s">
        <v>6465</v>
      </c>
      <c r="AA132" s="1721">
        <v>132</v>
      </c>
    </row>
    <row r="133" spans="1:27" ht="13.35" customHeight="1">
      <c r="A133" s="341" t="s">
        <v>2405</v>
      </c>
      <c r="B133" s="177">
        <f>IF('Part II-Sources of Funds'!$I$40="","",-FV('Part II-Sources of Funds'!$K$40/12,12,B120/12,K103))</f>
        <v>4592837.7585827867</v>
      </c>
      <c r="C133" s="177">
        <f>IF('Part II-Sources of Funds'!$I$40="","",-FV('Part II-Sources of Funds'!$K$40/12,12,C120/12,B133))</f>
        <v>4178301.8402107442</v>
      </c>
      <c r="D133" s="177">
        <f>IF('Part II-Sources of Funds'!$I$40="","",-FV('Part II-Sources of Funds'!$K$40/12,12,D120/12,C133))</f>
        <v>3742557.4775146414</v>
      </c>
      <c r="E133" s="177">
        <f>IF('Part II-Sources of Funds'!$I$40="","",-FV('Part II-Sources of Funds'!$K$40/12,12,E120/12,D133))</f>
        <v>3284519.6062317397</v>
      </c>
      <c r="F133" s="177">
        <f>IF('Part II-Sources of Funds'!$I$40="","",-FV('Part II-Sources of Funds'!$K$40/12,12,F120/12,E133))</f>
        <v>2803047.6481522955</v>
      </c>
      <c r="G133" s="13"/>
      <c r="H133" s="13"/>
      <c r="I133" s="13"/>
      <c r="J133" s="13"/>
      <c r="K133" s="13"/>
      <c r="N133" s="3559"/>
      <c r="O133" s="3561"/>
      <c r="Z133" s="1719" t="s">
        <v>6465</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6465</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6465</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6465</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3087</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14" zoomScaleNormal="100" workbookViewId="0">
      <selection activeCell="A41" sqref="A41:Q41"/>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7" t="str">
        <f>CONCATENATE("PART SEVEN - THRESHOLD CRITERIA","  -  ",'Part I-Project Identification'!$O$7," ",'Part I-Project Identification'!$F$25,", ",'Part I-Project Identification'!F26,", ",'Part I-Project Identification'!J26," County")</f>
        <v>PART SEVEN - THRESHOLD CRITERIA  -  2023-0 Richmond Summit, Augusta, Richmond County</v>
      </c>
      <c r="B1" s="3837"/>
      <c r="C1" s="3837"/>
      <c r="D1" s="3837"/>
      <c r="E1" s="3837"/>
      <c r="F1" s="3837"/>
      <c r="G1" s="3837"/>
      <c r="H1" s="3837"/>
      <c r="I1" s="3837"/>
      <c r="J1" s="3837"/>
      <c r="K1" s="3837"/>
      <c r="L1" s="3837"/>
      <c r="M1" s="3837"/>
      <c r="N1" s="3837"/>
      <c r="O1" s="3837"/>
      <c r="P1" s="3837"/>
      <c r="Q1" s="3837"/>
    </row>
    <row r="2" spans="1:17" s="2011" customFormat="1" ht="12.75"/>
    <row r="3" spans="1:17" s="2011" customFormat="1" ht="12.75">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6772</v>
      </c>
      <c r="Q3" s="3841" t="s">
        <v>6532</v>
      </c>
    </row>
    <row r="4" spans="1:17" s="2011" customFormat="1" ht="12.75">
      <c r="A4" s="2013"/>
      <c r="B4" s="3843"/>
      <c r="C4" s="3843"/>
      <c r="D4" s="3843"/>
      <c r="E4" s="2013"/>
      <c r="F4" s="2013"/>
      <c r="G4" s="2013"/>
      <c r="H4" s="2013"/>
      <c r="I4" s="2012"/>
      <c r="J4" s="2014"/>
      <c r="K4" s="2013"/>
      <c r="L4" s="2013"/>
      <c r="M4" s="2013"/>
      <c r="N4" s="2013"/>
      <c r="O4" s="2012"/>
      <c r="P4" s="3839"/>
      <c r="Q4" s="3841"/>
    </row>
    <row r="5" spans="1:17" s="2011" customFormat="1" ht="12.75">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6773</v>
      </c>
      <c r="B7" s="3831"/>
      <c r="C7" s="3831"/>
      <c r="D7" s="3831"/>
      <c r="E7" s="3831"/>
      <c r="F7" s="3831"/>
      <c r="G7" s="3831"/>
      <c r="H7" s="3831"/>
      <c r="I7" s="3831"/>
      <c r="J7" s="3831"/>
      <c r="K7" s="3831"/>
      <c r="L7" s="3831"/>
      <c r="M7" s="3831"/>
      <c r="N7" s="3831"/>
      <c r="O7" s="3831"/>
      <c r="P7" s="3831"/>
      <c r="Q7" s="383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6774</v>
      </c>
      <c r="B9" s="2019"/>
      <c r="C9" s="2019"/>
      <c r="D9" s="2019"/>
      <c r="E9" s="2019"/>
      <c r="F9" s="2019"/>
      <c r="G9" s="2019"/>
      <c r="H9" s="2019"/>
      <c r="I9" s="2020"/>
      <c r="J9" s="2020"/>
      <c r="K9" s="2021"/>
      <c r="L9" s="2021"/>
      <c r="M9" s="2021"/>
      <c r="N9" s="2021"/>
      <c r="O9" s="2021"/>
      <c r="P9" s="3832"/>
      <c r="Q9" s="3833"/>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834" t="s">
        <v>1329</v>
      </c>
      <c r="B11" s="3835"/>
      <c r="C11" s="3835"/>
      <c r="D11" s="3835"/>
      <c r="E11" s="3835"/>
      <c r="F11" s="3835"/>
      <c r="G11" s="3835"/>
      <c r="H11" s="3835"/>
      <c r="I11" s="3835"/>
      <c r="J11" s="3835"/>
      <c r="K11" s="3835"/>
      <c r="L11" s="3835"/>
      <c r="M11" s="3835"/>
      <c r="N11" s="3835"/>
      <c r="O11" s="3835"/>
      <c r="P11" s="3835"/>
      <c r="Q11" s="3836"/>
    </row>
    <row r="12" spans="1:17" s="2022" customFormat="1" ht="14.25">
      <c r="A12" s="3823" t="s">
        <v>218</v>
      </c>
      <c r="B12" s="3824"/>
      <c r="C12" s="3824"/>
      <c r="D12" s="3824"/>
      <c r="E12" s="3824"/>
      <c r="F12" s="3824"/>
      <c r="G12" s="3824"/>
      <c r="H12" s="3824"/>
      <c r="I12" s="3824"/>
      <c r="J12" s="3824"/>
      <c r="K12" s="3824"/>
      <c r="L12" s="3824"/>
      <c r="M12" s="3824"/>
      <c r="N12" s="3824"/>
      <c r="O12" s="3824"/>
      <c r="P12" s="3824"/>
      <c r="Q12" s="3825"/>
    </row>
    <row r="13" spans="1:17" s="2022" customFormat="1" ht="14.25">
      <c r="A13" s="3823" t="s">
        <v>1325</v>
      </c>
      <c r="B13" s="3824"/>
      <c r="C13" s="3824"/>
      <c r="D13" s="3824"/>
      <c r="E13" s="3824"/>
      <c r="F13" s="3824"/>
      <c r="G13" s="3824"/>
      <c r="H13" s="3824"/>
      <c r="I13" s="3824"/>
      <c r="J13" s="3824"/>
      <c r="K13" s="3824"/>
      <c r="L13" s="3824"/>
      <c r="M13" s="3824"/>
      <c r="N13" s="3824"/>
      <c r="O13" s="3824"/>
      <c r="P13" s="3824"/>
      <c r="Q13" s="3825"/>
    </row>
    <row r="14" spans="1:17" s="2022" customFormat="1" ht="14.25">
      <c r="A14" s="3823" t="s">
        <v>1326</v>
      </c>
      <c r="B14" s="3824"/>
      <c r="C14" s="3824"/>
      <c r="D14" s="3824"/>
      <c r="E14" s="3824"/>
      <c r="F14" s="3824"/>
      <c r="G14" s="3824"/>
      <c r="H14" s="3824"/>
      <c r="I14" s="3824"/>
      <c r="J14" s="3824"/>
      <c r="K14" s="3824"/>
      <c r="L14" s="3824"/>
      <c r="M14" s="3824"/>
      <c r="N14" s="3824"/>
      <c r="O14" s="3824"/>
      <c r="P14" s="3824"/>
      <c r="Q14" s="3825"/>
    </row>
    <row r="15" spans="1:17" s="2022" customFormat="1" ht="14.25">
      <c r="A15" s="3823" t="s">
        <v>1327</v>
      </c>
      <c r="B15" s="3824"/>
      <c r="C15" s="3824"/>
      <c r="D15" s="3824"/>
      <c r="E15" s="3824"/>
      <c r="F15" s="3824"/>
      <c r="G15" s="3824"/>
      <c r="H15" s="3824"/>
      <c r="I15" s="3824"/>
      <c r="J15" s="3824"/>
      <c r="K15" s="3824"/>
      <c r="L15" s="3824"/>
      <c r="M15" s="3824"/>
      <c r="N15" s="3824"/>
      <c r="O15" s="3824"/>
      <c r="P15" s="3824"/>
      <c r="Q15" s="3825"/>
    </row>
    <row r="16" spans="1:17" s="2022" customFormat="1" ht="14.25">
      <c r="A16" s="3823" t="s">
        <v>1328</v>
      </c>
      <c r="B16" s="3824"/>
      <c r="C16" s="3824"/>
      <c r="D16" s="3824"/>
      <c r="E16" s="3824"/>
      <c r="F16" s="3824"/>
      <c r="G16" s="3824"/>
      <c r="H16" s="3824"/>
      <c r="I16" s="3824"/>
      <c r="J16" s="3824"/>
      <c r="K16" s="3824"/>
      <c r="L16" s="3824"/>
      <c r="M16" s="3824"/>
      <c r="N16" s="3824"/>
      <c r="O16" s="3824"/>
      <c r="P16" s="3824"/>
      <c r="Q16" s="3825"/>
    </row>
    <row r="17" spans="1:17" s="2022" customFormat="1" ht="14.25">
      <c r="A17" s="3823" t="s">
        <v>1330</v>
      </c>
      <c r="B17" s="3824"/>
      <c r="C17" s="3824"/>
      <c r="D17" s="3824"/>
      <c r="E17" s="3824"/>
      <c r="F17" s="3824"/>
      <c r="G17" s="3824"/>
      <c r="H17" s="3824"/>
      <c r="I17" s="3824"/>
      <c r="J17" s="3824"/>
      <c r="K17" s="3824"/>
      <c r="L17" s="3824"/>
      <c r="M17" s="3824"/>
      <c r="N17" s="3824"/>
      <c r="O17" s="3824"/>
      <c r="P17" s="3824"/>
      <c r="Q17" s="3825"/>
    </row>
    <row r="18" spans="1:17" s="2022" customFormat="1" ht="14.25">
      <c r="A18" s="3823" t="s">
        <v>1872</v>
      </c>
      <c r="B18" s="3824"/>
      <c r="C18" s="3824"/>
      <c r="D18" s="3824"/>
      <c r="E18" s="3824"/>
      <c r="F18" s="3824"/>
      <c r="G18" s="3824"/>
      <c r="H18" s="3824"/>
      <c r="I18" s="3824"/>
      <c r="J18" s="3824"/>
      <c r="K18" s="3824"/>
      <c r="L18" s="3824"/>
      <c r="M18" s="3824"/>
      <c r="N18" s="3824"/>
      <c r="O18" s="3824"/>
      <c r="P18" s="3824"/>
      <c r="Q18" s="3825"/>
    </row>
    <row r="19" spans="1:17" s="2022" customFormat="1" ht="14.25">
      <c r="A19" s="3823" t="s">
        <v>1873</v>
      </c>
      <c r="B19" s="3824"/>
      <c r="C19" s="3824"/>
      <c r="D19" s="3824"/>
      <c r="E19" s="3824"/>
      <c r="F19" s="3824"/>
      <c r="G19" s="3824"/>
      <c r="H19" s="3824"/>
      <c r="I19" s="3824"/>
      <c r="J19" s="3824"/>
      <c r="K19" s="3824"/>
      <c r="L19" s="3824"/>
      <c r="M19" s="3824"/>
      <c r="N19" s="3824"/>
      <c r="O19" s="3824"/>
      <c r="P19" s="3824"/>
      <c r="Q19" s="3825"/>
    </row>
    <row r="20" spans="1:17" s="2022" customFormat="1" ht="14.25">
      <c r="A20" s="3823" t="s">
        <v>1874</v>
      </c>
      <c r="B20" s="3824"/>
      <c r="C20" s="3824"/>
      <c r="D20" s="3824"/>
      <c r="E20" s="3824"/>
      <c r="F20" s="3824"/>
      <c r="G20" s="3824"/>
      <c r="H20" s="3824"/>
      <c r="I20" s="3824"/>
      <c r="J20" s="3824"/>
      <c r="K20" s="3824"/>
      <c r="L20" s="3824"/>
      <c r="M20" s="3824"/>
      <c r="N20" s="3824"/>
      <c r="O20" s="3824"/>
      <c r="P20" s="3824"/>
      <c r="Q20" s="3825"/>
    </row>
    <row r="21" spans="1:17" s="2022" customFormat="1" ht="14.25">
      <c r="A21" s="3823" t="s">
        <v>1875</v>
      </c>
      <c r="B21" s="3824"/>
      <c r="C21" s="3824"/>
      <c r="D21" s="3824"/>
      <c r="E21" s="3824"/>
      <c r="F21" s="3824"/>
      <c r="G21" s="3824"/>
      <c r="H21" s="3824"/>
      <c r="I21" s="3824"/>
      <c r="J21" s="3824"/>
      <c r="K21" s="3824"/>
      <c r="L21" s="3824"/>
      <c r="M21" s="3824"/>
      <c r="N21" s="3824"/>
      <c r="O21" s="3824"/>
      <c r="P21" s="3824"/>
      <c r="Q21" s="3825"/>
    </row>
    <row r="22" spans="1:17" s="2022" customFormat="1" ht="14.25">
      <c r="A22" s="3823" t="s">
        <v>1876</v>
      </c>
      <c r="B22" s="3824"/>
      <c r="C22" s="3824"/>
      <c r="D22" s="3824"/>
      <c r="E22" s="3824"/>
      <c r="F22" s="3824"/>
      <c r="G22" s="3824"/>
      <c r="H22" s="3824"/>
      <c r="I22" s="3824"/>
      <c r="J22" s="3824"/>
      <c r="K22" s="3824"/>
      <c r="L22" s="3824"/>
      <c r="M22" s="3824"/>
      <c r="N22" s="3824"/>
      <c r="O22" s="3824"/>
      <c r="P22" s="3824"/>
      <c r="Q22" s="3825"/>
    </row>
    <row r="23" spans="1:17" s="2022" customFormat="1" ht="14.25">
      <c r="A23" s="3823" t="s">
        <v>1877</v>
      </c>
      <c r="B23" s="3824"/>
      <c r="C23" s="3824"/>
      <c r="D23" s="3824"/>
      <c r="E23" s="3824"/>
      <c r="F23" s="3824"/>
      <c r="G23" s="3824"/>
      <c r="H23" s="3824"/>
      <c r="I23" s="3824"/>
      <c r="J23" s="3824"/>
      <c r="K23" s="3824"/>
      <c r="L23" s="3824"/>
      <c r="M23" s="3824"/>
      <c r="N23" s="3824"/>
      <c r="O23" s="3824"/>
      <c r="P23" s="3824"/>
      <c r="Q23" s="3825"/>
    </row>
    <row r="24" spans="1:17" s="2022" customFormat="1" ht="14.25">
      <c r="A24" s="3823" t="s">
        <v>1878</v>
      </c>
      <c r="B24" s="3824"/>
      <c r="C24" s="3824"/>
      <c r="D24" s="3824"/>
      <c r="E24" s="3824"/>
      <c r="F24" s="3824"/>
      <c r="G24" s="3824"/>
      <c r="H24" s="3824"/>
      <c r="I24" s="3824"/>
      <c r="J24" s="3824"/>
      <c r="K24" s="3824"/>
      <c r="L24" s="3824"/>
      <c r="M24" s="3824"/>
      <c r="N24" s="3824"/>
      <c r="O24" s="3824"/>
      <c r="P24" s="3824"/>
      <c r="Q24" s="3825"/>
    </row>
    <row r="25" spans="1:17" s="2022" customFormat="1" ht="14.25">
      <c r="A25" s="3823" t="s">
        <v>1879</v>
      </c>
      <c r="B25" s="3824"/>
      <c r="C25" s="3824"/>
      <c r="D25" s="3824"/>
      <c r="E25" s="3824"/>
      <c r="F25" s="3824"/>
      <c r="G25" s="3824"/>
      <c r="H25" s="3824"/>
      <c r="I25" s="3824"/>
      <c r="J25" s="3824"/>
      <c r="K25" s="3824"/>
      <c r="L25" s="3824"/>
      <c r="M25" s="3824"/>
      <c r="N25" s="3824"/>
      <c r="O25" s="3824"/>
      <c r="P25" s="3824"/>
      <c r="Q25" s="3825"/>
    </row>
    <row r="26" spans="1:17" s="2022" customFormat="1" ht="14.25">
      <c r="A26" s="3823" t="s">
        <v>1880</v>
      </c>
      <c r="B26" s="3824"/>
      <c r="C26" s="3824"/>
      <c r="D26" s="3824"/>
      <c r="E26" s="3824"/>
      <c r="F26" s="3824"/>
      <c r="G26" s="3824"/>
      <c r="H26" s="3824"/>
      <c r="I26" s="3824"/>
      <c r="J26" s="3824"/>
      <c r="K26" s="3824"/>
      <c r="L26" s="3824"/>
      <c r="M26" s="3824"/>
      <c r="N26" s="3824"/>
      <c r="O26" s="3824"/>
      <c r="P26" s="3824"/>
      <c r="Q26" s="3825"/>
    </row>
    <row r="27" spans="1:17" s="2022" customFormat="1" ht="14.25">
      <c r="A27" s="3823" t="s">
        <v>1881</v>
      </c>
      <c r="B27" s="3824"/>
      <c r="C27" s="3824"/>
      <c r="D27" s="3824"/>
      <c r="E27" s="3824"/>
      <c r="F27" s="3824"/>
      <c r="G27" s="3824"/>
      <c r="H27" s="3824"/>
      <c r="I27" s="3824"/>
      <c r="J27" s="3824"/>
      <c r="K27" s="3824"/>
      <c r="L27" s="3824"/>
      <c r="M27" s="3824"/>
      <c r="N27" s="3824"/>
      <c r="O27" s="3824"/>
      <c r="P27" s="3824"/>
      <c r="Q27" s="3825"/>
    </row>
    <row r="28" spans="1:17" s="2022" customFormat="1" ht="14.25">
      <c r="A28" s="3826" t="s">
        <v>1882</v>
      </c>
      <c r="B28" s="3827"/>
      <c r="C28" s="3827"/>
      <c r="D28" s="3827"/>
      <c r="E28" s="3827"/>
      <c r="F28" s="3827"/>
      <c r="G28" s="3827"/>
      <c r="H28" s="3827"/>
      <c r="I28" s="3827"/>
      <c r="J28" s="3827"/>
      <c r="K28" s="3827"/>
      <c r="L28" s="3827"/>
      <c r="M28" s="3827"/>
      <c r="N28" s="3827"/>
      <c r="O28" s="3827"/>
      <c r="P28" s="3827"/>
      <c r="Q28" s="3828"/>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6634</v>
      </c>
      <c r="C31" s="2029"/>
      <c r="D31" s="2029"/>
      <c r="E31" s="2029"/>
      <c r="F31" s="2029"/>
      <c r="G31" s="2029"/>
      <c r="I31" s="2031"/>
      <c r="J31" s="2031"/>
      <c r="K31" s="2031"/>
      <c r="L31" s="2026"/>
      <c r="M31" s="2026"/>
      <c r="O31" s="2032" t="s">
        <v>1731</v>
      </c>
      <c r="P31" s="3829"/>
      <c r="Q31" s="3830"/>
    </row>
    <row r="32" spans="1:17" ht="20.25" customHeight="1">
      <c r="B32" s="2034" t="s">
        <v>6775</v>
      </c>
      <c r="C32" s="2034"/>
      <c r="D32" s="2034"/>
      <c r="E32" s="2034"/>
      <c r="F32" s="2034"/>
      <c r="G32" s="2031"/>
      <c r="H32" s="2031"/>
      <c r="I32" s="2031"/>
      <c r="J32" s="2031"/>
      <c r="K32" s="2026"/>
      <c r="L32" s="2026"/>
      <c r="M32" s="2026"/>
      <c r="N32" s="2026"/>
      <c r="O32" s="2026"/>
      <c r="P32" s="2026"/>
    </row>
    <row r="33" spans="1:17" ht="89.45" customHeight="1">
      <c r="A33" s="3686" t="s">
        <v>7116</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2" t="s">
        <v>6776</v>
      </c>
      <c r="C39" s="3822"/>
      <c r="D39" s="3822"/>
      <c r="E39" s="3822"/>
      <c r="F39" s="3822"/>
      <c r="G39" s="3822"/>
      <c r="H39" s="3822"/>
      <c r="I39" s="3822"/>
      <c r="J39" s="3822"/>
      <c r="K39" s="3822"/>
      <c r="L39" s="3822"/>
      <c r="M39" s="3822"/>
      <c r="N39" s="3822"/>
      <c r="O39" s="3822"/>
      <c r="P39" s="3699" t="s">
        <v>2649</v>
      </c>
      <c r="Q39" s="3700"/>
    </row>
    <row r="40" spans="1:17" ht="20.25" customHeight="1">
      <c r="B40" s="2045" t="s">
        <v>3241</v>
      </c>
      <c r="D40" s="2045"/>
      <c r="E40" s="2045"/>
      <c r="F40" s="2045"/>
      <c r="G40" s="2045"/>
      <c r="H40" s="2043"/>
      <c r="I40" s="2031"/>
      <c r="J40" s="2031"/>
    </row>
    <row r="41" spans="1:17" ht="20.25" customHeight="1">
      <c r="A41" s="3718" t="s">
        <v>7063</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6777</v>
      </c>
      <c r="C47" s="2042"/>
      <c r="D47" s="2036"/>
      <c r="E47" s="2036"/>
      <c r="F47" s="2036"/>
      <c r="G47" s="2036"/>
      <c r="H47" s="2036"/>
      <c r="I47" s="2036"/>
      <c r="J47" s="2036"/>
      <c r="L47" s="2051"/>
      <c r="M47" s="2052"/>
      <c r="O47" s="2032"/>
      <c r="P47" s="3699" t="s">
        <v>2649</v>
      </c>
      <c r="Q47" s="3700"/>
    </row>
    <row r="48" spans="1:17" ht="20.25" customHeight="1">
      <c r="B48" s="2045" t="s">
        <v>3241</v>
      </c>
      <c r="D48" s="2045"/>
      <c r="E48" s="2045"/>
      <c r="F48" s="2045"/>
      <c r="G48" s="2045"/>
      <c r="H48" s="2043"/>
      <c r="I48" s="2031"/>
      <c r="J48" s="2031"/>
      <c r="K48" s="2034" t="s">
        <v>1730</v>
      </c>
      <c r="L48" s="2026"/>
      <c r="M48" s="2026"/>
      <c r="N48" s="2026"/>
      <c r="O48" s="2026"/>
      <c r="P48" s="2026"/>
      <c r="Q48" s="2026"/>
    </row>
    <row r="49" spans="1:17" ht="88.5" customHeight="1">
      <c r="A49" s="3686" t="s">
        <v>7117</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4020</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7064</v>
      </c>
      <c r="J53" s="3757"/>
      <c r="K53" s="3757"/>
      <c r="L53" s="3757"/>
      <c r="M53" s="3757"/>
      <c r="N53" s="3757"/>
      <c r="O53" s="3757"/>
      <c r="P53" s="3757"/>
      <c r="Q53" s="3758"/>
    </row>
    <row r="54" spans="1:17" ht="20.25" customHeight="1">
      <c r="A54" s="2053"/>
      <c r="B54" s="2030" t="s">
        <v>6778</v>
      </c>
      <c r="D54" s="2056"/>
      <c r="E54" s="2056"/>
      <c r="F54" s="2056"/>
      <c r="I54" s="3819">
        <v>0.97</v>
      </c>
      <c r="J54" s="3821"/>
      <c r="K54" s="3820"/>
      <c r="L54" s="2044"/>
      <c r="M54" s="2057"/>
      <c r="N54" s="2057"/>
      <c r="O54" s="2057"/>
      <c r="P54" s="2057"/>
      <c r="Q54" s="2026"/>
    </row>
    <row r="55" spans="1:17" ht="20.25" customHeight="1">
      <c r="A55" s="2053"/>
      <c r="B55" s="2030" t="s">
        <v>6779</v>
      </c>
      <c r="D55" s="2056"/>
      <c r="E55" s="2056"/>
      <c r="F55" s="2056"/>
      <c r="H55" s="2044" t="s">
        <v>6780</v>
      </c>
      <c r="I55" s="3819">
        <v>0.16300000000000001</v>
      </c>
      <c r="J55" s="3821"/>
      <c r="K55" s="3820"/>
      <c r="L55" s="2058"/>
      <c r="M55" s="2059" t="s">
        <v>6781</v>
      </c>
      <c r="N55" s="3819">
        <v>0.47499999999999998</v>
      </c>
      <c r="O55" s="3820"/>
      <c r="P55" s="2033"/>
      <c r="Q55" s="2033"/>
    </row>
    <row r="56" spans="1:17" ht="20.25" customHeight="1">
      <c r="B56" s="2060" t="s">
        <v>3241</v>
      </c>
      <c r="D56" s="2060"/>
      <c r="E56" s="2060"/>
      <c r="F56" s="2060"/>
      <c r="G56" s="2060"/>
      <c r="H56" s="2043"/>
      <c r="I56" s="2031"/>
      <c r="J56" s="2031"/>
      <c r="K56" s="2031"/>
      <c r="L56" s="2026"/>
      <c r="M56" s="2026"/>
      <c r="N56" s="2026"/>
      <c r="O56" s="2026"/>
      <c r="P56" s="2026"/>
      <c r="Q56" s="2026"/>
    </row>
    <row r="57" spans="1:17" ht="44.1" customHeight="1">
      <c r="A57" s="3686" t="s">
        <v>7118</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6782</v>
      </c>
      <c r="I63" s="2062"/>
      <c r="J63" s="3809" t="s">
        <v>7065</v>
      </c>
      <c r="K63" s="3809"/>
      <c r="L63" s="3809"/>
      <c r="M63" s="3809"/>
      <c r="N63" s="3809"/>
      <c r="O63" s="3809"/>
      <c r="P63" s="3809"/>
      <c r="Q63" s="3810"/>
    </row>
    <row r="64" spans="1:17" ht="20.25" customHeight="1">
      <c r="A64" s="2053"/>
      <c r="B64" s="2030" t="s">
        <v>3949</v>
      </c>
      <c r="O64" s="2044"/>
      <c r="P64" s="2065" t="s">
        <v>2652</v>
      </c>
      <c r="Q64" s="2066"/>
    </row>
    <row r="65" spans="1:17" ht="33" customHeight="1">
      <c r="B65" s="2042"/>
      <c r="C65" s="3698" t="s">
        <v>6783</v>
      </c>
      <c r="D65" s="3698"/>
      <c r="E65" s="3698"/>
      <c r="F65" s="3698"/>
      <c r="G65" s="3698"/>
      <c r="H65" s="3698"/>
      <c r="I65" s="3698"/>
      <c r="J65" s="3698"/>
      <c r="K65" s="3698"/>
      <c r="L65" s="3698"/>
      <c r="M65" s="3698"/>
      <c r="N65" s="3698"/>
      <c r="O65" s="3698"/>
      <c r="P65" s="2065"/>
      <c r="Q65" s="2066"/>
    </row>
    <row r="66" spans="1:17" ht="33" customHeight="1">
      <c r="A66" s="2053"/>
      <c r="B66" s="2042"/>
      <c r="C66" s="3698" t="s">
        <v>6784</v>
      </c>
      <c r="D66" s="3698"/>
      <c r="E66" s="3698"/>
      <c r="F66" s="3698"/>
      <c r="G66" s="3698"/>
      <c r="H66" s="3698"/>
      <c r="I66" s="3698"/>
      <c r="J66" s="3698"/>
      <c r="K66" s="3698"/>
      <c r="L66" s="3698"/>
      <c r="M66" s="3698"/>
      <c r="N66" s="3698"/>
      <c r="O66" s="3698"/>
      <c r="P66" s="2067"/>
      <c r="Q66" s="2068"/>
    </row>
    <row r="67" spans="1:17" ht="20.25" customHeight="1">
      <c r="B67" s="2060" t="s">
        <v>6775</v>
      </c>
      <c r="D67" s="2060"/>
      <c r="E67" s="2060"/>
      <c r="F67" s="2060"/>
      <c r="G67" s="2060"/>
      <c r="H67" s="2043"/>
      <c r="I67" s="2031"/>
      <c r="J67" s="2031"/>
      <c r="K67" s="2031"/>
      <c r="L67" s="2026"/>
      <c r="M67" s="2026"/>
      <c r="N67" s="2026"/>
      <c r="O67" s="2026"/>
      <c r="P67" s="2026"/>
      <c r="Q67" s="2026"/>
    </row>
    <row r="68" spans="1:17" ht="20.25" customHeight="1">
      <c r="A68" s="3718" t="s">
        <v>7066</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6785</v>
      </c>
      <c r="C74" s="3698"/>
      <c r="D74" s="3698"/>
      <c r="E74" s="3698"/>
      <c r="F74" s="3698"/>
      <c r="G74" s="3698"/>
      <c r="H74" s="3698"/>
      <c r="I74" s="3698"/>
      <c r="J74" s="3698"/>
      <c r="K74" s="3730"/>
      <c r="L74" s="3815" t="s">
        <v>7067</v>
      </c>
      <c r="M74" s="3816"/>
      <c r="N74" s="3816"/>
      <c r="O74" s="3816"/>
      <c r="P74" s="3817"/>
      <c r="Q74" s="3818"/>
    </row>
    <row r="75" spans="1:17" ht="20.25" customHeight="1">
      <c r="B75" s="2030" t="s">
        <v>6786</v>
      </c>
      <c r="C75" s="2033"/>
      <c r="O75" s="2044"/>
      <c r="P75" s="2070" t="s">
        <v>2652</v>
      </c>
      <c r="Q75" s="2061"/>
    </row>
    <row r="76" spans="1:17" ht="20.25" customHeight="1">
      <c r="A76" s="2053"/>
      <c r="B76" s="2030" t="s">
        <v>6632</v>
      </c>
      <c r="D76" s="2056"/>
      <c r="E76" s="2056"/>
      <c r="F76" s="2056"/>
      <c r="G76" s="2056"/>
      <c r="H76" s="2056"/>
      <c r="K76" s="2056"/>
      <c r="L76" s="2036"/>
      <c r="O76" s="2044"/>
      <c r="P76" s="2067" t="s">
        <v>2652</v>
      </c>
      <c r="Q76" s="2068"/>
    </row>
    <row r="77" spans="1:17" ht="20.25" customHeight="1">
      <c r="A77" s="2053"/>
      <c r="B77" s="2030" t="s">
        <v>6787</v>
      </c>
      <c r="D77" s="2056"/>
      <c r="E77" s="2056"/>
      <c r="F77" s="2056"/>
      <c r="G77" s="2056"/>
      <c r="H77" s="2056"/>
      <c r="K77" s="2056"/>
      <c r="L77" s="2036"/>
      <c r="M77" s="2036"/>
      <c r="N77" s="2036"/>
      <c r="O77" s="2044"/>
    </row>
    <row r="78" spans="1:17" ht="20.25" customHeight="1">
      <c r="A78" s="2053"/>
      <c r="B78" s="2042"/>
      <c r="C78" s="2030" t="s">
        <v>6788</v>
      </c>
      <c r="E78" s="2056"/>
      <c r="F78" s="2056"/>
      <c r="G78" s="2056"/>
      <c r="H78" s="2056"/>
      <c r="K78" s="2056"/>
      <c r="L78" s="2036"/>
      <c r="M78" s="2036"/>
      <c r="O78" s="2044"/>
      <c r="P78" s="2070" t="s">
        <v>2652</v>
      </c>
      <c r="Q78" s="2061"/>
    </row>
    <row r="79" spans="1:17" ht="20.25" customHeight="1">
      <c r="A79" s="2053"/>
      <c r="B79" s="2042"/>
      <c r="C79" s="2030" t="s">
        <v>6789</v>
      </c>
      <c r="E79" s="2056"/>
      <c r="F79" s="2056"/>
      <c r="G79" s="2056"/>
      <c r="K79" s="2056"/>
      <c r="L79" s="2036"/>
      <c r="M79" s="2036"/>
      <c r="O79" s="2044"/>
      <c r="P79" s="2063" t="s">
        <v>2652</v>
      </c>
      <c r="Q79" s="2064"/>
    </row>
    <row r="80" spans="1:17" s="2081" customFormat="1" ht="20.25" customHeight="1">
      <c r="A80" s="2071"/>
      <c r="B80" s="2072"/>
      <c r="C80" s="2072"/>
      <c r="D80" s="2023" t="s">
        <v>6790</v>
      </c>
      <c r="E80" s="2073"/>
      <c r="F80" s="2073"/>
      <c r="G80" s="2023"/>
      <c r="H80" s="2023"/>
      <c r="I80" s="2074"/>
      <c r="J80" s="2075"/>
      <c r="K80" s="2076"/>
      <c r="L80" s="2077"/>
      <c r="M80" s="2077"/>
      <c r="N80" s="2075"/>
      <c r="O80" s="2078"/>
      <c r="P80" s="2079" t="s">
        <v>2652</v>
      </c>
      <c r="Q80" s="2080"/>
    </row>
    <row r="81" spans="1:23" ht="20.25" customHeight="1">
      <c r="A81" s="2053"/>
      <c r="B81" s="2042"/>
      <c r="C81" s="2030" t="s">
        <v>6791</v>
      </c>
      <c r="E81" s="2056"/>
      <c r="F81" s="2056"/>
      <c r="G81" s="2056"/>
      <c r="K81" s="2056"/>
      <c r="L81" s="2036"/>
      <c r="M81" s="2036"/>
      <c r="O81" s="2044"/>
      <c r="P81" s="2067" t="s">
        <v>2652</v>
      </c>
      <c r="Q81" s="2068"/>
    </row>
    <row r="82" spans="1:23" ht="32.25" customHeight="1">
      <c r="A82" s="2053"/>
      <c r="B82" s="3811" t="s">
        <v>6792</v>
      </c>
      <c r="C82" s="3811"/>
      <c r="D82" s="3811"/>
      <c r="E82" s="3811"/>
      <c r="F82" s="3811"/>
      <c r="G82" s="3811"/>
      <c r="H82" s="3811"/>
      <c r="I82" s="3811"/>
      <c r="J82" s="3811"/>
      <c r="K82" s="3811"/>
      <c r="L82" s="3811"/>
      <c r="M82" s="3811"/>
      <c r="N82" s="3811"/>
      <c r="O82" s="3811"/>
      <c r="P82" s="3811"/>
      <c r="Q82" s="3811"/>
    </row>
    <row r="83" spans="1:23" ht="58.5" customHeight="1">
      <c r="B83" s="3809" t="s">
        <v>7119</v>
      </c>
      <c r="C83" s="3809"/>
      <c r="D83" s="3809"/>
      <c r="E83" s="3809"/>
      <c r="F83" s="3809"/>
      <c r="G83" s="3809"/>
      <c r="H83" s="3809"/>
      <c r="I83" s="3809"/>
      <c r="J83" s="3809"/>
      <c r="K83" s="3809"/>
      <c r="L83" s="3809"/>
      <c r="M83" s="3809"/>
      <c r="N83" s="3809"/>
      <c r="O83" s="3809"/>
      <c r="P83" s="3809"/>
      <c r="Q83" s="3810"/>
    </row>
    <row r="84" spans="1:23" ht="24" customHeight="1">
      <c r="B84" s="2060" t="s">
        <v>3241</v>
      </c>
      <c r="D84" s="2060"/>
      <c r="E84" s="2060"/>
      <c r="F84" s="2060"/>
      <c r="G84" s="2060"/>
      <c r="H84" s="2043"/>
      <c r="I84" s="2031"/>
      <c r="J84" s="2031"/>
      <c r="K84" s="2031"/>
      <c r="L84" s="2026"/>
      <c r="M84" s="2026"/>
      <c r="N84" s="2026"/>
      <c r="O84" s="2026"/>
      <c r="P84" s="2026"/>
      <c r="Q84" s="2026"/>
    </row>
    <row r="85" spans="1:23" ht="35.1" customHeight="1">
      <c r="A85" s="3686" t="s">
        <v>7069</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7070</v>
      </c>
      <c r="M91" s="3813"/>
      <c r="N91" s="3814"/>
      <c r="O91" s="3684" t="s">
        <v>1646</v>
      </c>
      <c r="P91" s="3751"/>
      <c r="Q91" s="3685"/>
    </row>
    <row r="92" spans="1:23" ht="20.25" customHeight="1">
      <c r="A92" s="2053"/>
      <c r="B92" s="2030" t="s">
        <v>636</v>
      </c>
      <c r="G92" s="3809" t="s">
        <v>7099</v>
      </c>
      <c r="H92" s="3809"/>
      <c r="I92" s="3809"/>
      <c r="J92" s="3809"/>
      <c r="K92" s="3809"/>
      <c r="L92" s="3809"/>
      <c r="M92" s="3809"/>
      <c r="N92" s="3809"/>
      <c r="O92" s="3809"/>
      <c r="P92" s="3809"/>
      <c r="Q92" s="3810"/>
      <c r="W92" s="2082"/>
    </row>
    <row r="93" spans="1:23" ht="20.25" customHeight="1">
      <c r="B93" s="2060" t="s">
        <v>3241</v>
      </c>
      <c r="D93" s="2060"/>
      <c r="E93" s="2060"/>
      <c r="F93" s="2060"/>
      <c r="G93" s="2060"/>
      <c r="H93" s="2043"/>
      <c r="I93" s="2031"/>
      <c r="J93" s="2031"/>
      <c r="K93" s="2031"/>
      <c r="L93" s="2026"/>
      <c r="M93" s="2026"/>
      <c r="N93" s="2026"/>
      <c r="O93" s="2026"/>
      <c r="P93" s="2026"/>
      <c r="Q93" s="2026"/>
    </row>
    <row r="94" spans="1:23" ht="20.25" customHeight="1">
      <c r="A94" s="3686" t="s">
        <v>7107</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3241</v>
      </c>
      <c r="D100" s="2060"/>
      <c r="E100" s="2060"/>
      <c r="F100" s="2060"/>
      <c r="G100" s="2060"/>
      <c r="H100" s="2043"/>
      <c r="I100" s="2031"/>
      <c r="J100" s="2031"/>
      <c r="K100" s="2031"/>
      <c r="L100" s="2026"/>
      <c r="M100" s="2026"/>
      <c r="N100" s="2026"/>
      <c r="O100" s="2026"/>
      <c r="P100" s="2026"/>
      <c r="Q100" s="2026"/>
    </row>
    <row r="101" spans="1:17" ht="20.25" customHeight="1">
      <c r="A101" s="3686" t="s">
        <v>7071</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3241</v>
      </c>
      <c r="D107" s="2060"/>
      <c r="E107" s="2060"/>
      <c r="F107" s="2060"/>
      <c r="G107" s="2060"/>
      <c r="H107" s="2043"/>
      <c r="I107" s="2031"/>
      <c r="J107" s="2031"/>
      <c r="K107" s="2031"/>
      <c r="L107" s="2026"/>
      <c r="M107" s="2026"/>
      <c r="N107" s="2026"/>
      <c r="O107" s="2026"/>
      <c r="P107" s="2026"/>
      <c r="Q107" s="2026"/>
    </row>
    <row r="108" spans="1:17" ht="20.25" customHeight="1">
      <c r="A108" s="3686" t="s">
        <v>7072</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6793</v>
      </c>
      <c r="H114" s="2030" t="s">
        <v>6794</v>
      </c>
      <c r="J114" s="3792" t="s">
        <v>1710</v>
      </c>
      <c r="K114" s="3793"/>
      <c r="L114" s="3793"/>
      <c r="M114" s="3793"/>
      <c r="N114" s="3793"/>
      <c r="O114" s="3793"/>
      <c r="P114" s="3793"/>
      <c r="Q114" s="3794"/>
    </row>
    <row r="115" spans="1:21" ht="20.25" customHeight="1">
      <c r="A115" s="2053"/>
      <c r="B115" s="2053"/>
      <c r="H115" s="2030" t="s">
        <v>6795</v>
      </c>
      <c r="J115" s="3795" t="s">
        <v>1710</v>
      </c>
      <c r="K115" s="3796"/>
      <c r="L115" s="3796"/>
      <c r="M115" s="3796"/>
      <c r="N115" s="3796"/>
      <c r="O115" s="3796"/>
      <c r="P115" s="3796"/>
      <c r="Q115" s="3797"/>
    </row>
    <row r="116" spans="1:21" ht="20.25" customHeight="1">
      <c r="A116" s="2053"/>
      <c r="B116" s="2060" t="s">
        <v>3241</v>
      </c>
      <c r="C116" s="2083"/>
      <c r="D116" s="2083"/>
      <c r="E116" s="2083"/>
      <c r="F116" s="2083"/>
      <c r="H116" s="2033"/>
      <c r="I116" s="2033"/>
      <c r="J116" s="2033"/>
      <c r="K116" s="2033"/>
      <c r="L116" s="2033"/>
      <c r="M116" s="2033"/>
      <c r="N116" s="2033"/>
      <c r="O116" s="2033"/>
      <c r="P116" s="2033"/>
      <c r="Q116" s="2033"/>
    </row>
    <row r="117" spans="1:21" ht="20.25" customHeight="1">
      <c r="A117" s="3686" t="s">
        <v>7072</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6796</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6797</v>
      </c>
      <c r="H123" s="2030" t="s">
        <v>6798</v>
      </c>
      <c r="J123" s="3792" t="s">
        <v>1710</v>
      </c>
      <c r="K123" s="3793"/>
      <c r="L123" s="3793"/>
      <c r="M123" s="3793"/>
      <c r="N123" s="3793"/>
      <c r="O123" s="3793"/>
      <c r="P123" s="3793"/>
      <c r="Q123" s="3794"/>
      <c r="R123" s="2084"/>
    </row>
    <row r="124" spans="1:21" ht="20.25" customHeight="1">
      <c r="A124" s="2083"/>
      <c r="B124" s="2053"/>
      <c r="H124" s="2030" t="s">
        <v>6799</v>
      </c>
      <c r="J124" s="3795" t="s">
        <v>1710</v>
      </c>
      <c r="K124" s="3796"/>
      <c r="L124" s="3796"/>
      <c r="M124" s="3796"/>
      <c r="N124" s="3796"/>
      <c r="O124" s="3796"/>
      <c r="P124" s="3796"/>
      <c r="Q124" s="3797"/>
      <c r="R124" s="2084"/>
    </row>
    <row r="125" spans="1:21" ht="20.25" customHeight="1">
      <c r="B125" s="2060" t="s">
        <v>3241</v>
      </c>
      <c r="D125" s="2060"/>
      <c r="E125" s="2060"/>
      <c r="F125" s="2060"/>
      <c r="G125" s="2060"/>
      <c r="H125" s="2043"/>
      <c r="I125" s="2031"/>
      <c r="J125" s="2031"/>
      <c r="K125" s="2031"/>
      <c r="L125" s="2026"/>
      <c r="M125" s="2026"/>
      <c r="N125" s="2026"/>
      <c r="O125" s="2026"/>
      <c r="P125" s="2026"/>
      <c r="Q125" s="2026"/>
    </row>
    <row r="126" spans="1:21" ht="20.25" customHeight="1">
      <c r="A126" s="3686" t="s">
        <v>7072</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6800</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6801</v>
      </c>
      <c r="O133" s="2044"/>
      <c r="P133" s="2033"/>
      <c r="Q133" s="2033"/>
    </row>
    <row r="134" spans="1:17" ht="20.25" customHeight="1">
      <c r="A134" s="2053"/>
      <c r="B134" s="2043"/>
      <c r="C134" s="2030" t="s">
        <v>1792</v>
      </c>
      <c r="J134" s="2044"/>
      <c r="K134" s="2033"/>
      <c r="L134" s="2033"/>
      <c r="M134" s="3798" t="s">
        <v>7073</v>
      </c>
      <c r="N134" s="3799"/>
      <c r="O134" s="3799"/>
      <c r="P134" s="3799"/>
      <c r="Q134" s="3800"/>
    </row>
    <row r="135" spans="1:17" ht="20.25" customHeight="1">
      <c r="A135" s="2053"/>
      <c r="B135" s="2043"/>
      <c r="C135" s="2043" t="s">
        <v>6719</v>
      </c>
      <c r="E135" s="2043"/>
      <c r="F135" s="2043"/>
      <c r="G135" s="2043"/>
      <c r="H135" s="2043"/>
      <c r="J135" s="2044"/>
      <c r="K135" s="2033"/>
      <c r="L135" s="2033"/>
      <c r="M135" s="3801" t="s">
        <v>7108</v>
      </c>
      <c r="N135" s="3802"/>
      <c r="O135" s="3802"/>
      <c r="P135" s="3802"/>
      <c r="Q135" s="3803"/>
    </row>
    <row r="136" spans="1:17" ht="20.25" customHeight="1">
      <c r="A136" s="2053"/>
      <c r="B136" s="2043"/>
      <c r="C136" s="3804" t="s">
        <v>7109</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3787</v>
      </c>
      <c r="E137" s="2043"/>
      <c r="F137" s="2043"/>
      <c r="G137" s="2043"/>
      <c r="H137" s="2043"/>
      <c r="J137" s="2044"/>
      <c r="K137" s="2033"/>
      <c r="L137" s="2033"/>
      <c r="M137" s="3795" t="s">
        <v>7074</v>
      </c>
      <c r="N137" s="3796"/>
      <c r="O137" s="3796"/>
      <c r="P137" s="3796"/>
      <c r="Q137" s="3797"/>
    </row>
    <row r="138" spans="1:17" ht="20.25" customHeight="1">
      <c r="A138" s="2053" t="s">
        <v>1843</v>
      </c>
      <c r="B138" s="3698" t="s">
        <v>6802</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6803</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1952</v>
      </c>
      <c r="D140" s="3778"/>
      <c r="E140" s="3778"/>
      <c r="F140" s="3778"/>
      <c r="G140" s="3778"/>
      <c r="H140" s="3779"/>
      <c r="I140" s="2033"/>
      <c r="J140" s="3789"/>
      <c r="K140" s="3790"/>
      <c r="L140" s="3790"/>
      <c r="M140" s="3790"/>
      <c r="N140" s="3790"/>
      <c r="O140" s="3790"/>
      <c r="P140" s="3790"/>
      <c r="Q140" s="3791"/>
    </row>
    <row r="141" spans="1:17" ht="15.75" customHeight="1">
      <c r="A141" s="2026"/>
      <c r="B141" s="2078" t="s">
        <v>1615</v>
      </c>
      <c r="C141" s="3780" t="s">
        <v>3900</v>
      </c>
      <c r="D141" s="3781"/>
      <c r="E141" s="3781"/>
      <c r="F141" s="3781"/>
      <c r="G141" s="3781"/>
      <c r="H141" s="3782"/>
      <c r="I141" s="2033"/>
      <c r="J141" s="3786"/>
      <c r="K141" s="3787"/>
      <c r="L141" s="3787"/>
      <c r="M141" s="3787"/>
      <c r="N141" s="3787"/>
      <c r="O141" s="3787"/>
      <c r="P141" s="3787"/>
      <c r="Q141" s="3788"/>
    </row>
    <row r="142" spans="1:17" ht="15.75" customHeight="1">
      <c r="A142" s="2026"/>
      <c r="B142" s="2078" t="s">
        <v>1616</v>
      </c>
      <c r="C142" s="3780" t="s">
        <v>3901</v>
      </c>
      <c r="D142" s="3781"/>
      <c r="E142" s="3781"/>
      <c r="F142" s="3781"/>
      <c r="G142" s="3781"/>
      <c r="H142" s="3782"/>
      <c r="I142" s="2033"/>
      <c r="J142" s="3786"/>
      <c r="K142" s="3787"/>
      <c r="L142" s="3787"/>
      <c r="M142" s="3787"/>
      <c r="N142" s="3787"/>
      <c r="O142" s="3787"/>
      <c r="P142" s="3787"/>
      <c r="Q142" s="3788"/>
    </row>
    <row r="143" spans="1:17" ht="15.75" customHeight="1">
      <c r="A143" s="2026"/>
      <c r="B143" s="2078" t="s">
        <v>2182</v>
      </c>
      <c r="C143" s="3773" t="s">
        <v>3852</v>
      </c>
      <c r="D143" s="3774"/>
      <c r="E143" s="3774"/>
      <c r="F143" s="3774"/>
      <c r="G143" s="3774"/>
      <c r="H143" s="3775"/>
      <c r="I143" s="2033"/>
      <c r="J143" s="3783"/>
      <c r="K143" s="3784"/>
      <c r="L143" s="3784"/>
      <c r="M143" s="3784"/>
      <c r="N143" s="3784"/>
      <c r="O143" s="3784"/>
      <c r="P143" s="3784"/>
      <c r="Q143" s="3785"/>
    </row>
    <row r="144" spans="1:17" ht="20.25" customHeight="1">
      <c r="B144" s="2045" t="s">
        <v>3241</v>
      </c>
      <c r="D144" s="2045"/>
      <c r="E144" s="2045"/>
      <c r="F144" s="2045"/>
      <c r="G144" s="2045"/>
      <c r="H144" s="2043"/>
      <c r="I144" s="2031"/>
      <c r="J144" s="2031"/>
      <c r="K144" s="2031"/>
      <c r="L144" s="2026"/>
      <c r="M144" s="2026"/>
      <c r="N144" s="2026"/>
      <c r="O144" s="2026"/>
      <c r="P144" s="2033"/>
      <c r="Q144" s="2033"/>
    </row>
    <row r="145" spans="1:18" ht="36" customHeight="1">
      <c r="A145" s="3686" t="s">
        <v>7110</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3952</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6804</v>
      </c>
      <c r="C151" s="2033"/>
      <c r="D151" s="2033"/>
      <c r="E151" s="2033"/>
      <c r="F151" s="2033"/>
      <c r="G151" s="2033"/>
      <c r="H151" s="2033"/>
      <c r="I151" s="2033"/>
      <c r="J151" s="2033"/>
      <c r="K151" s="2033"/>
      <c r="L151" s="2033"/>
      <c r="M151" s="2033"/>
      <c r="N151" s="2031"/>
      <c r="O151" s="2033"/>
      <c r="P151" s="3702" t="s">
        <v>2649</v>
      </c>
      <c r="Q151" s="3703"/>
    </row>
    <row r="152" spans="1:18" ht="20.25" customHeight="1">
      <c r="A152" s="2053"/>
      <c r="B152" s="2030" t="s">
        <v>1192</v>
      </c>
      <c r="G152" s="2033"/>
      <c r="H152" s="3752" t="s">
        <v>7068</v>
      </c>
      <c r="I152" s="3768"/>
      <c r="J152" s="3768"/>
      <c r="K152" s="3768"/>
      <c r="L152" s="3768"/>
      <c r="M152" s="3768"/>
      <c r="N152" s="3768"/>
      <c r="O152" s="3768"/>
      <c r="P152" s="3769"/>
      <c r="Q152" s="3770"/>
      <c r="R152" s="2062"/>
    </row>
    <row r="153" spans="1:18" ht="20.25" customHeight="1">
      <c r="A153" s="2053"/>
      <c r="B153" s="2030" t="s">
        <v>1806</v>
      </c>
      <c r="G153" s="2033"/>
      <c r="H153" s="3740" t="s">
        <v>7075</v>
      </c>
      <c r="I153" s="3771"/>
      <c r="J153" s="3771"/>
      <c r="K153" s="3771"/>
      <c r="L153" s="3771"/>
      <c r="M153" s="3771"/>
      <c r="N153" s="3771"/>
      <c r="O153" s="3771"/>
      <c r="P153" s="3771"/>
      <c r="Q153" s="3772"/>
      <c r="R153" s="2062"/>
    </row>
    <row r="154" spans="1:18" ht="20.25" customHeight="1">
      <c r="B154" s="2060" t="s">
        <v>3241</v>
      </c>
      <c r="D154" s="2060"/>
      <c r="E154" s="2060"/>
      <c r="F154" s="2060"/>
      <c r="G154" s="2060"/>
      <c r="H154" s="2043"/>
      <c r="I154" s="2031"/>
      <c r="J154" s="2031"/>
      <c r="K154" s="2031"/>
      <c r="L154" s="2026"/>
      <c r="M154" s="2026"/>
      <c r="N154" s="2026"/>
      <c r="O154" s="2026"/>
      <c r="P154" s="2026"/>
      <c r="Q154" s="2026"/>
    </row>
    <row r="155" spans="1:18" ht="20.25" customHeight="1">
      <c r="A155" s="3686" t="s">
        <v>7111</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3241</v>
      </c>
      <c r="D161" s="2060"/>
      <c r="E161" s="2060"/>
      <c r="F161" s="2060"/>
      <c r="G161" s="2060"/>
      <c r="H161" s="2043"/>
      <c r="I161" s="2031"/>
      <c r="J161" s="2031"/>
      <c r="K161" s="2031"/>
      <c r="L161" s="2026"/>
      <c r="M161" s="2026"/>
      <c r="N161" s="2026"/>
      <c r="O161" s="2026"/>
      <c r="P161" s="2026"/>
      <c r="Q161" s="2026"/>
    </row>
    <row r="162" spans="1:17" ht="20.25" customHeight="1">
      <c r="A162" s="3686" t="s">
        <v>7076</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3371</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6199</v>
      </c>
      <c r="G168" s="2033"/>
      <c r="J168" s="2033"/>
      <c r="K168" s="2033"/>
      <c r="L168" s="2033"/>
      <c r="M168" s="2033"/>
      <c r="N168" s="2033"/>
      <c r="O168" s="2044"/>
      <c r="P168" s="2033"/>
      <c r="Q168" s="2033"/>
    </row>
    <row r="169" spans="1:17" ht="33" customHeight="1">
      <c r="B169" s="3689" t="s">
        <v>6805</v>
      </c>
      <c r="C169" s="3689"/>
      <c r="D169" s="3689"/>
      <c r="E169" s="3689"/>
      <c r="F169" s="3689"/>
      <c r="G169" s="3689"/>
      <c r="H169" s="3689"/>
      <c r="I169" s="3689"/>
      <c r="J169" s="3689"/>
      <c r="K169" s="3689"/>
      <c r="L169" s="3689"/>
      <c r="M169" s="3689"/>
      <c r="N169" s="3689"/>
      <c r="O169" s="3690"/>
      <c r="P169" s="3763" t="s">
        <v>7077</v>
      </c>
      <c r="Q169" s="3764"/>
    </row>
    <row r="170" spans="1:17" ht="20.25" customHeight="1">
      <c r="A170" s="2053" t="s">
        <v>1843</v>
      </c>
      <c r="B170" s="2029" t="s">
        <v>297</v>
      </c>
      <c r="G170" s="2033"/>
      <c r="H170" s="3691" t="s">
        <v>3335</v>
      </c>
      <c r="I170" s="3691"/>
      <c r="J170" s="3691"/>
      <c r="K170" s="3691"/>
      <c r="L170" s="3691"/>
      <c r="M170" s="3691"/>
      <c r="N170" s="3691"/>
      <c r="O170" s="3691"/>
      <c r="P170" s="3765"/>
      <c r="Q170" s="3765"/>
    </row>
    <row r="171" spans="1:17" ht="20.25" customHeight="1">
      <c r="A171" s="2053" t="s">
        <v>698</v>
      </c>
      <c r="B171" s="2029" t="s">
        <v>6198</v>
      </c>
      <c r="G171" s="2033"/>
      <c r="J171" s="2033"/>
      <c r="K171" s="2033"/>
      <c r="L171" s="2033"/>
      <c r="M171" s="2033"/>
      <c r="N171" s="2033"/>
      <c r="O171" s="2033"/>
      <c r="P171" s="2033"/>
      <c r="Q171" s="2033"/>
    </row>
    <row r="172" spans="1:17" ht="33" customHeight="1">
      <c r="A172" s="2053"/>
      <c r="B172" s="3689" t="s">
        <v>6200</v>
      </c>
      <c r="C172" s="3689"/>
      <c r="D172" s="3689"/>
      <c r="E172" s="3689"/>
      <c r="F172" s="3689"/>
      <c r="G172" s="3689"/>
      <c r="H172" s="3689"/>
      <c r="I172" s="3689"/>
      <c r="J172" s="3689"/>
      <c r="K172" s="3689"/>
      <c r="L172" s="3689"/>
      <c r="M172" s="3689"/>
      <c r="N172" s="2439" t="s">
        <v>6201</v>
      </c>
      <c r="O172" s="2078" t="s">
        <v>698</v>
      </c>
      <c r="P172" s="3766" t="s">
        <v>7077</v>
      </c>
      <c r="Q172" s="3767"/>
    </row>
    <row r="173" spans="1:17" ht="20.25" customHeight="1">
      <c r="B173" s="2060" t="s">
        <v>3241</v>
      </c>
      <c r="M173" s="2031"/>
      <c r="N173" s="2031"/>
      <c r="O173" s="2088"/>
      <c r="P173" s="2026"/>
    </row>
    <row r="174" spans="1:17" ht="20.25" customHeight="1">
      <c r="A174" s="3686" t="s">
        <v>7078</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3372</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6804</v>
      </c>
      <c r="C180" s="2033"/>
      <c r="D180" s="2033"/>
      <c r="E180" s="2033"/>
      <c r="F180" s="2033"/>
      <c r="G180" s="2033"/>
      <c r="H180" s="2033"/>
      <c r="I180" s="2033"/>
      <c r="J180" s="2033"/>
      <c r="K180" s="2033"/>
      <c r="L180" s="2033"/>
      <c r="M180" s="2033"/>
      <c r="N180" s="2031"/>
      <c r="O180" s="2033"/>
      <c r="P180" s="3702" t="s">
        <v>2649</v>
      </c>
      <c r="Q180" s="3754"/>
    </row>
    <row r="181" spans="1:17" ht="33.75" customHeight="1">
      <c r="A181" s="2033"/>
      <c r="B181" s="3698" t="s">
        <v>6806</v>
      </c>
      <c r="C181" s="3698"/>
      <c r="D181" s="3698"/>
      <c r="E181" s="3698"/>
      <c r="F181" s="3698"/>
      <c r="G181" s="3698"/>
      <c r="H181" s="3698"/>
      <c r="I181" s="3698"/>
      <c r="J181" s="3698"/>
      <c r="K181" s="3698"/>
      <c r="L181" s="3698"/>
      <c r="M181" s="3698"/>
      <c r="N181" s="3698"/>
      <c r="O181" s="3698"/>
      <c r="P181" s="3695" t="s">
        <v>7077</v>
      </c>
      <c r="Q181" s="3696"/>
    </row>
    <row r="182" spans="1:17" ht="12" customHeight="1">
      <c r="A182" s="2033"/>
      <c r="C182" s="2033"/>
      <c r="D182" s="2033"/>
      <c r="E182" s="2033"/>
      <c r="F182" s="2033"/>
      <c r="G182" s="2033"/>
      <c r="H182" s="2033"/>
      <c r="I182" s="2033"/>
      <c r="J182" s="2033"/>
      <c r="K182" s="2033"/>
      <c r="L182" s="3759" t="s">
        <v>6807</v>
      </c>
      <c r="M182" s="3759"/>
      <c r="N182" s="2031"/>
      <c r="O182" s="2033"/>
      <c r="P182" s="2085"/>
      <c r="Q182" s="2026"/>
    </row>
    <row r="183" spans="1:17" ht="20.25" customHeight="1">
      <c r="A183" s="2053" t="s">
        <v>1843</v>
      </c>
      <c r="B183" s="2042" t="s">
        <v>3294</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7</v>
      </c>
      <c r="M184" s="2095">
        <f>'DCA Underwriting Assumptions'!$Q$122</f>
        <v>0.05</v>
      </c>
      <c r="N184" s="2033"/>
      <c r="O184" s="2044"/>
      <c r="P184" s="3702">
        <v>7</v>
      </c>
      <c r="Q184" s="3754"/>
    </row>
    <row r="185" spans="1:17" ht="20.25" customHeight="1">
      <c r="A185" s="2053"/>
      <c r="B185" s="2043"/>
      <c r="D185" s="3698" t="s">
        <v>6811</v>
      </c>
      <c r="E185" s="3698"/>
      <c r="F185" s="3698"/>
      <c r="G185" s="3698"/>
      <c r="H185" s="3698"/>
      <c r="I185" s="3698"/>
      <c r="J185" s="3698"/>
      <c r="K185" s="2093"/>
      <c r="L185" s="2096">
        <f>ROUNDUP(L184*M185,0)</f>
        <v>3</v>
      </c>
      <c r="M185" s="2095">
        <f>'DCA Underwriting Assumptions'!$Q$123</f>
        <v>0.4</v>
      </c>
      <c r="N185" s="2033"/>
      <c r="O185" s="2044"/>
      <c r="P185" s="3704">
        <v>3</v>
      </c>
      <c r="Q185" s="3760"/>
    </row>
    <row r="186" spans="1:17" ht="20.25" customHeight="1">
      <c r="A186" s="2053"/>
      <c r="B186" s="3698" t="s">
        <v>6812</v>
      </c>
      <c r="C186" s="3698"/>
      <c r="D186" s="3698"/>
      <c r="E186" s="3698"/>
      <c r="F186" s="3698"/>
      <c r="G186" s="3698"/>
      <c r="H186" s="3698"/>
      <c r="I186" s="3698"/>
      <c r="J186" s="3698"/>
      <c r="K186" s="2033"/>
      <c r="L186" s="2097">
        <f>ROUNDUP('Part V-Revenues &amp; Expenses'!$P$67*M186,0)</f>
        <v>3</v>
      </c>
      <c r="M186" s="2095">
        <f>'DCA Underwriting Assumptions'!$Q$124</f>
        <v>0.02</v>
      </c>
      <c r="N186" s="2033"/>
      <c r="O186" s="2044"/>
      <c r="P186" s="3695">
        <v>3</v>
      </c>
      <c r="Q186" s="3755"/>
    </row>
    <row r="187" spans="1:17" ht="20.25" customHeight="1">
      <c r="B187" s="2060" t="s">
        <v>3241</v>
      </c>
      <c r="D187" s="2060"/>
      <c r="E187" s="2060"/>
      <c r="F187" s="2060"/>
      <c r="G187" s="2060"/>
      <c r="H187" s="2043"/>
      <c r="I187" s="2031"/>
      <c r="J187" s="2031"/>
      <c r="K187" s="2031"/>
      <c r="L187" s="2026"/>
      <c r="M187" s="2026"/>
      <c r="N187" s="2026"/>
      <c r="O187" s="2026"/>
      <c r="P187" s="2026"/>
      <c r="Q187" s="2026"/>
    </row>
    <row r="188" spans="1:17" ht="36.6" customHeight="1">
      <c r="A188" s="3686" t="s">
        <v>7079</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3370</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6804</v>
      </c>
      <c r="P194" s="3702" t="s">
        <v>2649</v>
      </c>
      <c r="Q194" s="3754"/>
    </row>
    <row r="195" spans="1:17" ht="36" customHeight="1">
      <c r="B195" s="3698" t="s">
        <v>6813</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6913</v>
      </c>
      <c r="D197" s="3689"/>
      <c r="E197" s="3689"/>
      <c r="F197" s="3756" t="s">
        <v>6305</v>
      </c>
      <c r="G197" s="3757"/>
      <c r="H197" s="3757"/>
      <c r="I197" s="3757"/>
      <c r="J197" s="3757"/>
      <c r="K197" s="3757"/>
      <c r="L197" s="3757"/>
      <c r="M197" s="3757"/>
      <c r="N197" s="3757"/>
      <c r="O197" s="3757"/>
      <c r="P197" s="3757"/>
      <c r="Q197" s="3758"/>
    </row>
    <row r="198" spans="1:17" ht="30" customHeight="1">
      <c r="B198" s="2078" t="s">
        <v>1615</v>
      </c>
      <c r="C198" s="3689" t="s">
        <v>6914</v>
      </c>
      <c r="D198" s="3689"/>
      <c r="E198" s="3689"/>
      <c r="F198" s="3689"/>
      <c r="G198" s="3690"/>
      <c r="H198" s="3756" t="s">
        <v>3250</v>
      </c>
      <c r="I198" s="3757"/>
      <c r="J198" s="3757"/>
      <c r="K198" s="3757"/>
      <c r="L198" s="3757"/>
      <c r="M198" s="3757"/>
      <c r="N198" s="3757"/>
      <c r="O198" s="3757"/>
      <c r="P198" s="3757"/>
      <c r="Q198" s="3758"/>
    </row>
    <row r="199" spans="1:17" ht="20.25" customHeight="1">
      <c r="A199" s="2053"/>
      <c r="B199" s="2078" t="s">
        <v>1616</v>
      </c>
      <c r="C199" s="3698" t="s">
        <v>6814</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3241</v>
      </c>
      <c r="D202" s="2060"/>
      <c r="E202" s="2060"/>
      <c r="F202" s="2060"/>
      <c r="G202" s="2060"/>
      <c r="H202" s="2043"/>
      <c r="I202" s="2031"/>
      <c r="J202" s="2031"/>
      <c r="K202" s="2031"/>
      <c r="L202" s="2026"/>
      <c r="M202" s="2026"/>
      <c r="N202" s="2026"/>
      <c r="O202" s="2026"/>
      <c r="P202" s="2026"/>
      <c r="Q202" s="2026"/>
    </row>
    <row r="203" spans="1:17" ht="32.1" customHeight="1">
      <c r="A203" s="3686" t="s">
        <v>7080</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3373</v>
      </c>
      <c r="B208" s="2042" t="s">
        <v>6534</v>
      </c>
      <c r="C208" s="2042"/>
      <c r="D208" s="2036"/>
      <c r="E208" s="2036"/>
      <c r="F208" s="2036"/>
      <c r="G208" s="2036"/>
      <c r="H208" s="2036"/>
      <c r="N208" s="2069"/>
      <c r="O208" s="2032" t="s">
        <v>1731</v>
      </c>
      <c r="P208" s="3744"/>
      <c r="Q208" s="3745"/>
    </row>
    <row r="209" spans="1:17" ht="20.25" customHeight="1">
      <c r="A209" s="2053"/>
      <c r="B209" s="2030" t="s">
        <v>6815</v>
      </c>
      <c r="O209" s="2044"/>
      <c r="P209" s="3746" t="s">
        <v>7081</v>
      </c>
      <c r="Q209" s="3747"/>
    </row>
    <row r="210" spans="1:17" ht="20.25" customHeight="1">
      <c r="A210" s="2053"/>
      <c r="B210" s="2030" t="s">
        <v>6816</v>
      </c>
      <c r="O210" s="2044"/>
      <c r="P210" s="3734" t="s">
        <v>7081</v>
      </c>
      <c r="Q210" s="3735"/>
    </row>
    <row r="211" spans="1:17" ht="22.5" customHeight="1">
      <c r="A211" s="2053"/>
      <c r="B211" s="2030" t="s">
        <v>6817</v>
      </c>
      <c r="C211" s="2033"/>
      <c r="K211" s="2031"/>
      <c r="M211" s="2044"/>
      <c r="O211" s="2100"/>
      <c r="P211" s="3734" t="s">
        <v>2652</v>
      </c>
      <c r="Q211" s="3735"/>
    </row>
    <row r="212" spans="1:17" ht="31.5" customHeight="1">
      <c r="A212" s="2053"/>
      <c r="B212" s="3698" t="s">
        <v>6818</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6819</v>
      </c>
      <c r="M213" s="2033"/>
      <c r="N213" s="2033"/>
      <c r="O213" s="3748" t="s">
        <v>4049</v>
      </c>
      <c r="P213" s="3749"/>
      <c r="Q213" s="3750"/>
    </row>
    <row r="214" spans="1:17" ht="20.25" customHeight="1">
      <c r="A214" s="2053"/>
      <c r="B214" s="2029" t="s">
        <v>6820</v>
      </c>
      <c r="G214" s="3684"/>
      <c r="H214" s="3751"/>
      <c r="I214" s="3751"/>
      <c r="J214" s="3751"/>
      <c r="K214" s="3751"/>
      <c r="L214" s="3685"/>
      <c r="M214" s="2033"/>
      <c r="N214" s="2033"/>
      <c r="O214" s="2033"/>
      <c r="P214" s="2033"/>
      <c r="Q214" s="2033"/>
    </row>
    <row r="215" spans="1:17" ht="20.25" customHeight="1">
      <c r="B215" s="2060" t="s">
        <v>3241</v>
      </c>
      <c r="D215" s="2060"/>
      <c r="E215" s="2060"/>
      <c r="F215" s="2060"/>
      <c r="G215" s="2060"/>
      <c r="H215" s="2043"/>
      <c r="I215" s="2031"/>
      <c r="J215" s="2031"/>
      <c r="K215" s="2031"/>
      <c r="L215" s="2026"/>
      <c r="M215" s="2026"/>
      <c r="N215" s="2026"/>
      <c r="O215" s="2026"/>
      <c r="P215" s="2026"/>
      <c r="Q215" s="2026"/>
    </row>
    <row r="216" spans="1:17" ht="39" customHeight="1">
      <c r="A216" s="3718" t="s">
        <v>7112</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3374</v>
      </c>
      <c r="B221" s="2029" t="s">
        <v>6540</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6821</v>
      </c>
      <c r="C222" s="3698"/>
      <c r="D222" s="3698"/>
      <c r="E222" s="3698"/>
      <c r="F222" s="3698"/>
      <c r="G222" s="3698"/>
      <c r="H222" s="3698"/>
      <c r="I222" s="3698"/>
      <c r="J222" s="3698"/>
      <c r="K222" s="3698"/>
      <c r="L222" s="3698"/>
      <c r="M222" s="3698"/>
      <c r="N222" s="3698"/>
      <c r="O222" s="3730"/>
      <c r="P222" s="3731" t="s">
        <v>7077</v>
      </c>
      <c r="Q222" s="3732"/>
    </row>
    <row r="223" spans="1:17" s="2102" customFormat="1" ht="33.75" customHeight="1">
      <c r="A223" s="2071" t="s">
        <v>1841</v>
      </c>
      <c r="B223" s="3733" t="s">
        <v>6822</v>
      </c>
      <c r="C223" s="3733"/>
      <c r="D223" s="3733"/>
      <c r="E223" s="3733"/>
      <c r="F223" s="3733"/>
      <c r="G223" s="3733"/>
      <c r="H223" s="3733"/>
      <c r="I223" s="3733"/>
      <c r="J223" s="3733"/>
      <c r="K223" s="3733"/>
      <c r="L223" s="3733"/>
      <c r="M223" s="3733"/>
      <c r="N223" s="3733"/>
      <c r="O223" s="3733"/>
      <c r="P223" s="2063" t="s">
        <v>7082</v>
      </c>
      <c r="Q223" s="2440"/>
    </row>
    <row r="224" spans="1:17" ht="47.25" customHeight="1">
      <c r="A224" s="2071" t="s">
        <v>1843</v>
      </c>
      <c r="B224" s="3689" t="s">
        <v>6823</v>
      </c>
      <c r="C224" s="3689"/>
      <c r="D224" s="3689"/>
      <c r="E224" s="3689"/>
      <c r="F224" s="3689"/>
      <c r="G224" s="3689"/>
      <c r="H224" s="3689"/>
      <c r="I224" s="3689"/>
      <c r="J224" s="3689"/>
      <c r="K224" s="3689"/>
      <c r="L224" s="3689"/>
      <c r="M224" s="3689"/>
      <c r="N224" s="3689"/>
      <c r="O224" s="3689"/>
      <c r="P224" s="2063" t="s">
        <v>7082</v>
      </c>
      <c r="Q224" s="2064"/>
    </row>
    <row r="225" spans="1:17" ht="20.25" customHeight="1">
      <c r="A225" s="2053" t="s">
        <v>698</v>
      </c>
      <c r="B225" s="3710" t="s">
        <v>6824</v>
      </c>
      <c r="C225" s="3710"/>
      <c r="D225" s="3710"/>
      <c r="E225" s="3710"/>
      <c r="F225" s="3710"/>
      <c r="G225" s="3710"/>
      <c r="H225" s="3710"/>
      <c r="I225" s="3710"/>
      <c r="J225" s="3710"/>
      <c r="K225" s="3710"/>
      <c r="L225" s="3710"/>
      <c r="M225" s="3710"/>
      <c r="N225" s="3710"/>
      <c r="O225" s="3710"/>
      <c r="P225" s="2063" t="s">
        <v>7077</v>
      </c>
      <c r="Q225" s="2064"/>
    </row>
    <row r="226" spans="1:17" ht="33.75" customHeight="1">
      <c r="A226" s="2071" t="s">
        <v>1962</v>
      </c>
      <c r="B226" s="3689" t="s">
        <v>6825</v>
      </c>
      <c r="C226" s="3689"/>
      <c r="D226" s="3689"/>
      <c r="E226" s="3689"/>
      <c r="F226" s="3689"/>
      <c r="G226" s="3689"/>
      <c r="H226" s="3689"/>
      <c r="I226" s="3689"/>
      <c r="J226" s="3689"/>
      <c r="K226" s="3689"/>
      <c r="L226" s="3689"/>
      <c r="M226" s="3689"/>
      <c r="N226" s="3689"/>
      <c r="O226" s="3689"/>
      <c r="P226" s="2067" t="s">
        <v>7077</v>
      </c>
      <c r="Q226" s="2068"/>
    </row>
    <row r="227" spans="1:17" ht="20.25" customHeight="1">
      <c r="B227" s="2060" t="s">
        <v>3241</v>
      </c>
      <c r="D227" s="2060"/>
      <c r="E227" s="2060"/>
      <c r="F227" s="2060"/>
      <c r="G227" s="2060"/>
      <c r="H227" s="2043"/>
      <c r="I227" s="2031"/>
      <c r="J227" s="2031"/>
      <c r="K227" s="2031"/>
      <c r="L227" s="2026"/>
      <c r="M227" s="2026"/>
      <c r="N227" s="2026"/>
      <c r="O227" s="2026"/>
      <c r="P227" s="2026"/>
      <c r="Q227" s="2026"/>
    </row>
    <row r="228" spans="1:17" ht="20.25" customHeight="1">
      <c r="A228" s="3718" t="s">
        <v>7113</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3377</v>
      </c>
      <c r="B233" s="2029" t="s">
        <v>3359</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3360</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3361</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6826</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6827</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6828</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6829</v>
      </c>
      <c r="D239" s="3689"/>
      <c r="E239" s="3689"/>
      <c r="F239" s="3689"/>
      <c r="G239" s="3689"/>
      <c r="H239" s="3689"/>
      <c r="I239" s="3689"/>
      <c r="J239" s="3689"/>
      <c r="K239" s="3689"/>
      <c r="L239" s="3689"/>
      <c r="M239" s="3689"/>
      <c r="N239" s="3689"/>
      <c r="O239" s="3689"/>
      <c r="P239" s="3689"/>
      <c r="Q239" s="3689"/>
    </row>
    <row r="240" spans="1:17" ht="29.25" customHeight="1">
      <c r="A240" s="2053"/>
      <c r="B240" s="2104" t="s">
        <v>3866</v>
      </c>
      <c r="C240" s="3689" t="s">
        <v>6830</v>
      </c>
      <c r="D240" s="3689"/>
      <c r="E240" s="3689"/>
      <c r="F240" s="3689"/>
      <c r="G240" s="3689"/>
      <c r="H240" s="3689"/>
      <c r="I240" s="3689"/>
      <c r="J240" s="3689"/>
      <c r="K240" s="3689"/>
      <c r="L240" s="3689"/>
      <c r="M240" s="3689"/>
      <c r="N240" s="3689"/>
      <c r="O240" s="3689"/>
      <c r="P240" s="3689"/>
      <c r="Q240" s="3689"/>
    </row>
    <row r="241" spans="1:17" ht="15.75" customHeight="1">
      <c r="A241" s="2053"/>
      <c r="B241" s="2104" t="s">
        <v>6831</v>
      </c>
      <c r="C241" s="3689" t="s">
        <v>6832</v>
      </c>
      <c r="D241" s="3689"/>
      <c r="E241" s="3689"/>
      <c r="F241" s="3689"/>
      <c r="G241" s="3689"/>
      <c r="H241" s="3689"/>
      <c r="I241" s="3689"/>
      <c r="J241" s="3689"/>
      <c r="K241" s="3689"/>
      <c r="L241" s="3689"/>
      <c r="M241" s="3689"/>
      <c r="N241" s="3689"/>
      <c r="O241" s="3689"/>
      <c r="P241" s="3689"/>
      <c r="Q241" s="3689"/>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3241</v>
      </c>
      <c r="D243" s="2060"/>
      <c r="E243" s="2060"/>
      <c r="F243" s="2060"/>
      <c r="G243" s="2060"/>
      <c r="H243" s="2043"/>
      <c r="I243" s="2031"/>
      <c r="J243" s="2031"/>
      <c r="K243" s="2031"/>
      <c r="L243" s="2026"/>
      <c r="M243" s="2026"/>
      <c r="N243" s="2026"/>
      <c r="O243" s="2026"/>
      <c r="P243" s="2026"/>
      <c r="Q243" s="2026"/>
    </row>
    <row r="244" spans="1:17" ht="20.25" customHeight="1">
      <c r="A244" s="3686" t="s">
        <v>7114</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3378</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t="s">
        <v>2652</v>
      </c>
      <c r="Q250" s="3703"/>
    </row>
    <row r="251" spans="1:17" ht="20.25" customHeight="1">
      <c r="A251" s="2053"/>
      <c r="B251" s="2030" t="s">
        <v>3143</v>
      </c>
      <c r="D251" s="2056"/>
      <c r="E251" s="2056"/>
      <c r="O251" s="2044"/>
      <c r="P251" s="3704" t="s">
        <v>2652</v>
      </c>
      <c r="Q251" s="3705"/>
    </row>
    <row r="252" spans="1:17" ht="20.25" customHeight="1">
      <c r="A252" s="2053"/>
      <c r="B252" s="2030" t="s">
        <v>4032</v>
      </c>
      <c r="D252" s="2056"/>
      <c r="E252" s="2056"/>
      <c r="O252" s="2044"/>
      <c r="P252" s="3706" t="s">
        <v>2652</v>
      </c>
      <c r="Q252" s="3707"/>
    </row>
    <row r="253" spans="1:17" ht="20.25" customHeight="1">
      <c r="A253" s="2053"/>
      <c r="B253" s="2030" t="s">
        <v>3144</v>
      </c>
      <c r="O253" s="2044"/>
      <c r="P253" s="3704" t="s">
        <v>2652</v>
      </c>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3241</v>
      </c>
      <c r="D255" s="2060"/>
      <c r="E255" s="2060"/>
      <c r="F255" s="2060"/>
      <c r="G255" s="2060"/>
      <c r="H255" s="2043"/>
      <c r="I255" s="2031"/>
      <c r="J255" s="2031"/>
      <c r="K255" s="2031"/>
      <c r="L255" s="2026"/>
      <c r="M255" s="2026"/>
      <c r="N255" s="2026"/>
      <c r="O255" s="2026"/>
      <c r="P255" s="2026"/>
      <c r="Q255" s="2026"/>
    </row>
    <row r="256" spans="1:17" ht="20.25" customHeight="1">
      <c r="A256" s="3686" t="s">
        <v>7083</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3379</v>
      </c>
      <c r="B261" s="2029" t="s">
        <v>3940</v>
      </c>
      <c r="C261" s="2029"/>
      <c r="D261" s="2029"/>
      <c r="E261" s="2029"/>
      <c r="F261" s="2029"/>
      <c r="G261" s="2029"/>
      <c r="H261" s="2036"/>
      <c r="I261" s="2036"/>
      <c r="J261" s="2036"/>
      <c r="K261" s="2036"/>
      <c r="L261" s="2036"/>
      <c r="M261" s="2036"/>
      <c r="O261" s="2032" t="s">
        <v>1731</v>
      </c>
      <c r="P261" s="3684"/>
      <c r="Q261" s="3685"/>
    </row>
    <row r="262" spans="1:17" ht="20.25" customHeight="1">
      <c r="B262" s="2030" t="s">
        <v>6252</v>
      </c>
      <c r="O262" s="2044"/>
      <c r="P262" s="3699" t="s">
        <v>2652</v>
      </c>
      <c r="Q262" s="3700"/>
    </row>
    <row r="263" spans="1:17" ht="20.25" customHeight="1">
      <c r="A263" s="2053" t="s">
        <v>1841</v>
      </c>
      <c r="B263" s="2029" t="s">
        <v>3939</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2649</v>
      </c>
      <c r="Q264" s="3703"/>
    </row>
    <row r="265" spans="1:17" ht="20.25" customHeight="1">
      <c r="B265" s="3701" t="s">
        <v>4034</v>
      </c>
      <c r="C265" s="3701"/>
      <c r="D265" s="3701"/>
      <c r="E265" s="3701"/>
      <c r="F265" s="3701"/>
      <c r="G265" s="3701"/>
      <c r="H265" s="3701"/>
      <c r="I265" s="3701"/>
      <c r="J265" s="3701"/>
      <c r="K265" s="3701"/>
      <c r="L265" s="3701"/>
      <c r="M265" s="3701"/>
      <c r="N265" s="3701"/>
      <c r="O265" s="3701"/>
      <c r="P265" s="3704" t="s">
        <v>2649</v>
      </c>
      <c r="Q265" s="3705"/>
    </row>
    <row r="266" spans="1:17" ht="32.25" customHeight="1">
      <c r="A266" s="2053"/>
      <c r="B266" s="3694" t="s">
        <v>6835</v>
      </c>
      <c r="C266" s="3694"/>
      <c r="D266" s="3694"/>
      <c r="E266" s="3694"/>
      <c r="F266" s="3694"/>
      <c r="G266" s="3694"/>
      <c r="H266" s="3694"/>
      <c r="I266" s="3694"/>
      <c r="J266" s="3694"/>
      <c r="K266" s="3694"/>
      <c r="L266" s="3694"/>
      <c r="M266" s="3694"/>
      <c r="N266" s="3694"/>
      <c r="O266" s="3694"/>
      <c r="P266" s="3695" t="s">
        <v>2649</v>
      </c>
      <c r="Q266" s="3696"/>
    </row>
    <row r="267" spans="1:17" ht="20.25" customHeight="1">
      <c r="B267" s="2060" t="s">
        <v>3241</v>
      </c>
      <c r="D267" s="2060"/>
      <c r="E267" s="2060"/>
      <c r="F267" s="2060"/>
      <c r="G267" s="2060"/>
      <c r="H267" s="2043"/>
      <c r="I267" s="2031"/>
      <c r="J267" s="2031"/>
      <c r="K267" s="2031"/>
    </row>
    <row r="268" spans="1:17" ht="41.1" customHeight="1">
      <c r="A268" s="3686" t="s">
        <v>7084</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3380</v>
      </c>
      <c r="B273" s="2029" t="s">
        <v>2508</v>
      </c>
      <c r="C273" s="2029"/>
      <c r="D273" s="2029"/>
      <c r="E273" s="2036"/>
      <c r="F273" s="2036"/>
      <c r="G273" s="2036"/>
      <c r="H273" s="2036"/>
      <c r="O273" s="2032" t="s">
        <v>1731</v>
      </c>
      <c r="P273" s="3697"/>
      <c r="Q273" s="3697"/>
    </row>
    <row r="274" spans="1:17" ht="33" customHeight="1">
      <c r="A274" s="2033"/>
      <c r="B274" s="3698" t="s">
        <v>6836</v>
      </c>
      <c r="C274" s="3698"/>
      <c r="D274" s="3698"/>
      <c r="E274" s="3698"/>
      <c r="F274" s="3698"/>
      <c r="G274" s="3698"/>
      <c r="H274" s="3698"/>
      <c r="I274" s="3698"/>
      <c r="J274" s="3698"/>
      <c r="K274" s="3698"/>
      <c r="L274" s="3698"/>
      <c r="M274" s="3698"/>
      <c r="N274" s="3698"/>
      <c r="O274" s="2105"/>
      <c r="P274" s="3699" t="s">
        <v>7077</v>
      </c>
      <c r="Q274" s="3700"/>
    </row>
    <row r="275" spans="1:17" ht="34.5" customHeight="1">
      <c r="A275" s="2033"/>
      <c r="B275" s="2078" t="s">
        <v>1841</v>
      </c>
      <c r="C275" s="3689" t="s">
        <v>3313</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6837</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3868</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3869</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3870</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3871</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3314</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3919</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3920</v>
      </c>
      <c r="D283" s="3689"/>
      <c r="E283" s="3689"/>
      <c r="F283" s="3689"/>
      <c r="G283" s="3689"/>
      <c r="H283" s="3689"/>
      <c r="I283" s="3689"/>
      <c r="J283" s="3689"/>
      <c r="K283" s="3689"/>
      <c r="L283" s="3689"/>
      <c r="M283" s="3689"/>
      <c r="N283" s="3689"/>
      <c r="O283" s="3689"/>
      <c r="P283" s="2076"/>
      <c r="Q283" s="2026"/>
    </row>
    <row r="284" spans="1:17" ht="47.25" customHeight="1">
      <c r="A284" s="2071"/>
      <c r="B284" s="3689" t="s">
        <v>6838</v>
      </c>
      <c r="C284" s="3689"/>
      <c r="D284" s="3689"/>
      <c r="E284" s="3689"/>
      <c r="F284" s="3689"/>
      <c r="G284" s="3689"/>
      <c r="H284" s="3689"/>
      <c r="I284" s="3689"/>
      <c r="J284" s="3689"/>
      <c r="K284" s="3689"/>
      <c r="L284" s="3689"/>
      <c r="M284" s="3689"/>
      <c r="N284" s="3689"/>
      <c r="O284" s="3690"/>
      <c r="P284" s="3691" t="s">
        <v>7077</v>
      </c>
      <c r="Q284" s="3691"/>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3.950000000000003" customHeight="1">
      <c r="A286" s="3686" t="s">
        <v>7085</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3381</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3241</v>
      </c>
      <c r="D292" s="2060"/>
      <c r="E292" s="2060"/>
      <c r="F292" s="2060"/>
      <c r="G292" s="2060"/>
      <c r="H292" s="2043"/>
      <c r="I292" s="2031"/>
      <c r="J292" s="2031"/>
      <c r="K292" s="2031"/>
      <c r="L292" s="2026"/>
      <c r="M292" s="2026"/>
      <c r="N292" s="2026"/>
      <c r="O292" s="2026"/>
      <c r="P292" s="2026"/>
      <c r="Q292" s="2026"/>
    </row>
    <row r="293" spans="1:17" ht="33.6" customHeight="1">
      <c r="A293" s="3686" t="s">
        <v>7086</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4047</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4048</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4049</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4053</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4050</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4051</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4052</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3279</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3280</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3250</v>
      </c>
      <c r="L336" s="2106"/>
      <c r="M336" s="2106"/>
      <c r="N336" s="2106"/>
      <c r="O336" s="2106"/>
      <c r="P336" s="2106"/>
      <c r="Q336" s="2106"/>
    </row>
    <row r="337" spans="3:17" ht="20.25" customHeight="1">
      <c r="C337" s="2107" t="s">
        <v>1130</v>
      </c>
      <c r="D337" s="2106"/>
      <c r="E337" s="2106"/>
      <c r="F337" s="2106"/>
      <c r="G337" s="2106"/>
      <c r="H337" s="2106"/>
      <c r="I337" s="2106"/>
      <c r="J337" s="2106"/>
      <c r="K337" s="2106" t="s">
        <v>6203</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6306</v>
      </c>
      <c r="L341" s="2106"/>
      <c r="M341" s="2106"/>
      <c r="N341" s="2106"/>
      <c r="O341" s="2106"/>
      <c r="P341" s="2106"/>
      <c r="Q341" s="2106"/>
    </row>
    <row r="342" spans="3:17" ht="20.25" customHeight="1">
      <c r="C342" s="2106" t="s">
        <v>1429</v>
      </c>
      <c r="D342" s="2106"/>
      <c r="E342" s="2106"/>
      <c r="F342" s="2106"/>
      <c r="G342" s="2106"/>
      <c r="H342" s="2106"/>
      <c r="I342" s="2106"/>
      <c r="J342" s="2106"/>
      <c r="K342" s="2106" t="s">
        <v>6305</v>
      </c>
      <c r="L342" s="2106"/>
      <c r="M342" s="2106"/>
      <c r="N342" s="2106"/>
      <c r="O342" s="2106"/>
      <c r="P342" s="2106"/>
      <c r="Q342" s="2106"/>
    </row>
    <row r="343" spans="3:17" ht="20.25" customHeight="1">
      <c r="C343" s="2106" t="s">
        <v>1965</v>
      </c>
      <c r="D343" s="2106"/>
      <c r="E343" s="2106"/>
      <c r="F343" s="2106"/>
      <c r="G343" s="2106"/>
      <c r="H343" s="2106"/>
      <c r="I343" s="2106"/>
      <c r="J343" s="2106"/>
      <c r="K343" s="2106" t="s">
        <v>6204</v>
      </c>
      <c r="L343" s="2106"/>
      <c r="M343" s="2106"/>
      <c r="N343" s="2106"/>
      <c r="O343" s="2106"/>
      <c r="P343" s="2106"/>
      <c r="Q343" s="2106"/>
    </row>
    <row r="344" spans="3:17" ht="20.25" customHeight="1">
      <c r="C344" s="2106" t="s">
        <v>162</v>
      </c>
      <c r="D344" s="2106"/>
      <c r="E344" s="2106"/>
      <c r="F344" s="2106"/>
      <c r="G344" s="2106"/>
      <c r="H344" s="2106"/>
      <c r="I344" s="2106"/>
      <c r="J344" s="2106"/>
      <c r="K344" s="2106" t="s">
        <v>6307</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3853</v>
      </c>
    </row>
    <row r="353" spans="3:13" s="2030" customFormat="1" ht="20.25" customHeight="1">
      <c r="C353" s="2030" t="s">
        <v>950</v>
      </c>
      <c r="M353" s="2030" t="s">
        <v>950</v>
      </c>
    </row>
    <row r="354" spans="3:13" s="2030" customFormat="1" ht="20.25" customHeight="1">
      <c r="C354" s="2030" t="s">
        <v>1938</v>
      </c>
      <c r="M354" s="2030" t="s">
        <v>3850</v>
      </c>
    </row>
    <row r="355" spans="3:13" s="2030" customFormat="1" ht="20.25" customHeight="1">
      <c r="C355" s="2030" t="s">
        <v>2341</v>
      </c>
      <c r="M355" s="2030" t="s">
        <v>3881</v>
      </c>
    </row>
    <row r="356" spans="3:13" s="2030" customFormat="1" ht="20.25" customHeight="1">
      <c r="C356" s="2030" t="s">
        <v>1939</v>
      </c>
      <c r="M356" s="2030" t="s">
        <v>1540</v>
      </c>
    </row>
    <row r="357" spans="3:13" s="2030" customFormat="1" ht="20.25" customHeight="1">
      <c r="C357" s="2030" t="s">
        <v>1810</v>
      </c>
      <c r="M357" s="2030" t="s">
        <v>3851</v>
      </c>
    </row>
    <row r="358" spans="3:13" s="2030" customFormat="1" ht="20.25" customHeight="1">
      <c r="C358" s="2030" t="s">
        <v>548</v>
      </c>
      <c r="M358" s="2030" t="s">
        <v>3900</v>
      </c>
    </row>
    <row r="359" spans="3:13" s="2030" customFormat="1" ht="20.25" customHeight="1">
      <c r="C359" s="2030" t="s">
        <v>2035</v>
      </c>
      <c r="M359" s="2030" t="s">
        <v>3901</v>
      </c>
    </row>
    <row r="360" spans="3:13" s="2030" customFormat="1" ht="20.25" customHeight="1">
      <c r="C360" s="2030" t="s">
        <v>30</v>
      </c>
      <c r="M360" s="2030" t="s">
        <v>3852</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3262</v>
      </c>
    </row>
    <row r="365" spans="3:13" s="2030" customFormat="1" ht="20.25" customHeight="1">
      <c r="M365" s="2030" t="s">
        <v>3338</v>
      </c>
    </row>
    <row r="366" spans="3:13" s="2030" customFormat="1" ht="20.25" customHeight="1">
      <c r="M366" s="2030" t="s">
        <v>3333</v>
      </c>
    </row>
    <row r="367" spans="3:13" s="2030" customFormat="1" ht="20.25" customHeight="1">
      <c r="M367" s="2030" t="s">
        <v>3255</v>
      </c>
    </row>
    <row r="368" spans="3:13" s="2030" customFormat="1" ht="20.25" customHeight="1">
      <c r="M368" s="2030" t="s">
        <v>3329</v>
      </c>
    </row>
    <row r="369" spans="4:13" s="2030" customFormat="1" ht="20.25" customHeight="1">
      <c r="D369" s="2029" t="s">
        <v>1888</v>
      </c>
      <c r="M369" s="2030" t="s">
        <v>3256</v>
      </c>
    </row>
    <row r="370" spans="4:13" s="2030" customFormat="1" ht="20.25" customHeight="1">
      <c r="M370" s="2030" t="s">
        <v>3330</v>
      </c>
    </row>
    <row r="371" spans="4:13" s="2030" customFormat="1" ht="20.25" customHeight="1">
      <c r="M371" s="2030" t="s">
        <v>3257</v>
      </c>
    </row>
    <row r="372" spans="4:13" s="2030" customFormat="1" ht="20.25" customHeight="1">
      <c r="M372" s="2030" t="s">
        <v>3331</v>
      </c>
    </row>
    <row r="373" spans="4:13" s="2030" customFormat="1" ht="20.25" customHeight="1">
      <c r="M373" s="2030" t="s">
        <v>3334</v>
      </c>
    </row>
    <row r="374" spans="4:13" s="2030" customFormat="1" ht="20.25" customHeight="1">
      <c r="M374" s="2030" t="s">
        <v>3258</v>
      </c>
    </row>
    <row r="375" spans="4:13" s="2030" customFormat="1" ht="20.25" customHeight="1">
      <c r="M375" s="2030" t="s">
        <v>3259</v>
      </c>
    </row>
    <row r="376" spans="4:13" s="2030" customFormat="1" ht="20.25" customHeight="1">
      <c r="M376" s="2030" t="s">
        <v>3332</v>
      </c>
    </row>
    <row r="377" spans="4:13" s="2030" customFormat="1" ht="20.25" customHeight="1">
      <c r="M377" s="2030" t="s">
        <v>3335</v>
      </c>
    </row>
    <row r="378" spans="4:13" s="2030" customFormat="1" ht="20.25" customHeight="1">
      <c r="M378" s="2030" t="s">
        <v>3336</v>
      </c>
    </row>
    <row r="379" spans="4:13" s="2030" customFormat="1" ht="20.25" customHeight="1">
      <c r="M379" s="2030" t="s">
        <v>6528</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340" zoomScale="80" zoomScaleNormal="80" workbookViewId="0">
      <selection activeCell="O366" sqref="O366"/>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Richmond Summit, Augusta, Richmond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2" t="s">
        <v>6842</v>
      </c>
      <c r="B3" s="3902"/>
      <c r="C3" s="3902"/>
      <c r="D3" s="3902"/>
      <c r="E3" s="3902"/>
      <c r="F3" s="3902"/>
      <c r="G3" s="3902"/>
      <c r="H3" s="3902"/>
      <c r="I3" s="3902"/>
      <c r="J3" s="3902"/>
      <c r="K3" s="3902"/>
      <c r="L3" s="3902"/>
      <c r="M3" s="2125"/>
      <c r="N3" s="2123"/>
      <c r="O3" s="2126" t="s">
        <v>2050</v>
      </c>
      <c r="P3" s="2127" t="s">
        <v>245</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1152</v>
      </c>
      <c r="M6" s="2133"/>
      <c r="N6" s="2134"/>
      <c r="O6" s="2135">
        <f>O404</f>
        <v>41</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6136</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6137</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3393</v>
      </c>
      <c r="B12" s="2146" t="s">
        <v>3394</v>
      </c>
      <c r="C12" s="2147"/>
      <c r="D12" s="2147"/>
      <c r="E12" s="2120" t="s">
        <v>3401</v>
      </c>
      <c r="F12" s="3904" t="s">
        <v>6497</v>
      </c>
      <c r="G12" s="3904"/>
      <c r="H12" s="3904"/>
      <c r="I12" s="3904"/>
      <c r="J12" s="3904"/>
      <c r="K12" s="3904"/>
      <c r="L12" s="3904"/>
      <c r="M12" s="3904"/>
      <c r="N12" s="3904"/>
      <c r="O12" s="2148" t="s">
        <v>3811</v>
      </c>
      <c r="P12" s="2149">
        <f>SUM(P13:P31)</f>
        <v>0</v>
      </c>
      <c r="Q12" s="3905"/>
      <c r="R12" s="3905"/>
      <c r="S12" s="3905"/>
      <c r="T12" s="3905"/>
      <c r="U12" s="3905"/>
      <c r="V12" s="2150"/>
    </row>
    <row r="13" spans="1:25" s="2121" customFormat="1" ht="14.45" customHeight="1">
      <c r="A13" s="2151" t="s">
        <v>1668</v>
      </c>
      <c r="B13" s="2152" t="s">
        <v>3395</v>
      </c>
      <c r="C13" s="2153"/>
      <c r="D13" s="2154"/>
      <c r="E13" s="2155">
        <f>$O$77</f>
        <v>0</v>
      </c>
      <c r="F13" s="3906" t="str">
        <f>$A$81</f>
        <v>N/A to preservation application.</v>
      </c>
      <c r="G13" s="3907"/>
      <c r="H13" s="3907"/>
      <c r="I13" s="3907"/>
      <c r="J13" s="3907"/>
      <c r="K13" s="3907"/>
      <c r="L13" s="3907"/>
      <c r="M13" s="3907"/>
      <c r="N13" s="3907"/>
      <c r="O13" s="3907"/>
      <c r="P13" s="2156"/>
      <c r="Q13" s="3905"/>
      <c r="R13" s="3905"/>
      <c r="S13" s="3905"/>
      <c r="T13" s="3905"/>
      <c r="U13" s="3905"/>
      <c r="V13" s="2150"/>
    </row>
    <row r="14" spans="1:25" s="2121" customFormat="1" ht="14.45" customHeight="1">
      <c r="A14" s="2151" t="s">
        <v>496</v>
      </c>
      <c r="B14" s="2157" t="s">
        <v>4039</v>
      </c>
      <c r="C14" s="2158"/>
      <c r="D14" s="2159"/>
      <c r="E14" s="2160">
        <f>$O$86</f>
        <v>0</v>
      </c>
      <c r="F14" s="3847" t="str">
        <f>$A$102</f>
        <v>N/A to preservation application.</v>
      </c>
      <c r="G14" s="3848"/>
      <c r="H14" s="3848"/>
      <c r="I14" s="3848"/>
      <c r="J14" s="3848"/>
      <c r="K14" s="3848"/>
      <c r="L14" s="3848"/>
      <c r="M14" s="3848"/>
      <c r="N14" s="3848"/>
      <c r="O14" s="3849"/>
      <c r="P14" s="2162"/>
      <c r="Q14" s="3905"/>
      <c r="R14" s="3905"/>
      <c r="S14" s="3905"/>
      <c r="T14" s="3905"/>
      <c r="U14" s="3905"/>
    </row>
    <row r="15" spans="1:25" s="2121" customFormat="1" ht="14.45" customHeight="1">
      <c r="A15" s="2151" t="s">
        <v>720</v>
      </c>
      <c r="B15" s="2157" t="s">
        <v>3340</v>
      </c>
      <c r="C15" s="2158"/>
      <c r="D15" s="2159"/>
      <c r="E15" s="2160">
        <f>$O$106</f>
        <v>0</v>
      </c>
      <c r="F15" s="3847" t="str">
        <f>$A$117</f>
        <v>N/A to preservation application.</v>
      </c>
      <c r="G15" s="3848"/>
      <c r="H15" s="3848"/>
      <c r="I15" s="3848"/>
      <c r="J15" s="3848"/>
      <c r="K15" s="3848"/>
      <c r="L15" s="3848"/>
      <c r="M15" s="3848"/>
      <c r="N15" s="3848"/>
      <c r="O15" s="3849"/>
      <c r="P15" s="2162"/>
      <c r="Q15" s="2163"/>
      <c r="R15" s="2163"/>
      <c r="S15" s="2163"/>
      <c r="T15" s="2163"/>
      <c r="U15" s="2163"/>
    </row>
    <row r="16" spans="1:25" s="2121" customFormat="1" ht="14.45" customHeight="1">
      <c r="A16" s="2164" t="s">
        <v>280</v>
      </c>
      <c r="B16" s="2157" t="s">
        <v>3396</v>
      </c>
      <c r="C16" s="2158"/>
      <c r="D16" s="2159"/>
      <c r="E16" s="2457">
        <f>$O$122</f>
        <v>0</v>
      </c>
      <c r="F16" s="3847" t="str">
        <f>$A$137</f>
        <v>N/A to preservation application.</v>
      </c>
      <c r="G16" s="3848"/>
      <c r="H16" s="3848"/>
      <c r="I16" s="3848"/>
      <c r="J16" s="3848"/>
      <c r="K16" s="3848"/>
      <c r="L16" s="3848"/>
      <c r="M16" s="3848"/>
      <c r="N16" s="3848"/>
      <c r="O16" s="3849"/>
      <c r="P16" s="2162"/>
      <c r="Q16" s="2163"/>
      <c r="R16" s="2163"/>
      <c r="S16" s="2163"/>
      <c r="T16" s="2163"/>
      <c r="U16" s="2163"/>
    </row>
    <row r="17" spans="1:35" s="2121" customFormat="1" ht="14.45" customHeight="1">
      <c r="A17" s="2151" t="s">
        <v>401</v>
      </c>
      <c r="B17" s="2166" t="s">
        <v>3397</v>
      </c>
      <c r="C17" s="2167"/>
      <c r="D17" s="2168"/>
      <c r="E17" s="2169" t="s">
        <v>1610</v>
      </c>
      <c r="F17" s="3911" t="str">
        <f>$A$147</f>
        <v>N/A to preservation application.</v>
      </c>
      <c r="G17" s="3912"/>
      <c r="H17" s="3912"/>
      <c r="I17" s="3912"/>
      <c r="J17" s="3912"/>
      <c r="K17" s="3912"/>
      <c r="L17" s="3912"/>
      <c r="M17" s="3912"/>
      <c r="N17" s="3912"/>
      <c r="O17" s="3913"/>
      <c r="P17" s="2162"/>
      <c r="Q17" s="2163"/>
      <c r="R17" s="2163"/>
      <c r="S17" s="2163"/>
      <c r="T17" s="2163"/>
      <c r="U17" s="2163"/>
    </row>
    <row r="18" spans="1:35" s="2121" customFormat="1" ht="14.45" customHeight="1">
      <c r="A18" s="2151" t="s">
        <v>342</v>
      </c>
      <c r="B18" s="2157" t="s">
        <v>4040</v>
      </c>
      <c r="C18" s="2158"/>
      <c r="D18" s="2159"/>
      <c r="E18" s="2170">
        <f>$O$152</f>
        <v>0</v>
      </c>
      <c r="F18" s="3847" t="str">
        <f>$A$165</f>
        <v>N/A to preservation application.</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5" customHeight="1">
      <c r="A19" s="2151" t="s">
        <v>4042</v>
      </c>
      <c r="B19" s="2157" t="s">
        <v>3263</v>
      </c>
      <c r="C19" s="2158"/>
      <c r="D19" s="2159"/>
      <c r="E19" s="2170">
        <f>$O$179</f>
        <v>0</v>
      </c>
      <c r="F19" s="3847" t="str">
        <f>$A$184</f>
        <v>N/A to preservation application.</v>
      </c>
      <c r="G19" s="3848"/>
      <c r="H19" s="3848"/>
      <c r="I19" s="3848"/>
      <c r="J19" s="3848"/>
      <c r="K19" s="3848"/>
      <c r="L19" s="3848"/>
      <c r="M19" s="3848"/>
      <c r="N19" s="3848"/>
      <c r="O19" s="3849"/>
      <c r="P19" s="2162"/>
      <c r="Q19" s="3914"/>
      <c r="R19" s="3915"/>
      <c r="S19" s="3915"/>
    </row>
    <row r="20" spans="1:35" s="2121" customFormat="1" ht="14.45" customHeight="1">
      <c r="A20" s="2151" t="s">
        <v>4054</v>
      </c>
      <c r="B20" s="2157" t="s">
        <v>4043</v>
      </c>
      <c r="C20" s="2158"/>
      <c r="D20" s="2159"/>
      <c r="E20" s="2169">
        <f>$O$189</f>
        <v>0</v>
      </c>
      <c r="F20" s="3847" t="str">
        <f>$A$195</f>
        <v>N/A to preservation application.</v>
      </c>
      <c r="G20" s="3848"/>
      <c r="H20" s="3848"/>
      <c r="I20" s="3848"/>
      <c r="J20" s="3848"/>
      <c r="K20" s="3848"/>
      <c r="L20" s="3848"/>
      <c r="M20" s="3848"/>
      <c r="N20" s="3848"/>
      <c r="O20" s="3849"/>
      <c r="P20" s="2162"/>
      <c r="Q20" s="3914"/>
      <c r="R20" s="3915"/>
      <c r="S20" s="3915"/>
    </row>
    <row r="21" spans="1:35" s="2121" customFormat="1" ht="14.45" customHeight="1">
      <c r="A21" s="2171" t="s">
        <v>6244</v>
      </c>
      <c r="B21" s="2166" t="s">
        <v>4044</v>
      </c>
      <c r="C21" s="2167"/>
      <c r="D21" s="2168"/>
      <c r="E21" s="2172">
        <f>$O$200</f>
        <v>0</v>
      </c>
      <c r="F21" s="3911" t="str">
        <f>$A$205</f>
        <v>N/A to preservation application.</v>
      </c>
      <c r="G21" s="3912"/>
      <c r="H21" s="3912"/>
      <c r="I21" s="3912"/>
      <c r="J21" s="3912"/>
      <c r="K21" s="3912"/>
      <c r="L21" s="3912"/>
      <c r="M21" s="3912"/>
      <c r="N21" s="3912"/>
      <c r="O21" s="3913"/>
      <c r="P21" s="2162"/>
      <c r="Q21" s="3914"/>
      <c r="R21" s="3915"/>
      <c r="S21" s="3915"/>
    </row>
    <row r="22" spans="1:35" s="2121" customFormat="1" ht="14.45" customHeight="1">
      <c r="A22" s="2151" t="s">
        <v>6638</v>
      </c>
      <c r="B22" s="2157" t="s">
        <v>6550</v>
      </c>
      <c r="C22" s="2158"/>
      <c r="D22" s="2159"/>
      <c r="E22" s="2170">
        <f>$O$223</f>
        <v>0</v>
      </c>
      <c r="F22" s="3847" t="str">
        <f>$A$228</f>
        <v>N/A for Other Metro projects.</v>
      </c>
      <c r="G22" s="3848"/>
      <c r="H22" s="3848"/>
      <c r="I22" s="3848"/>
      <c r="J22" s="3848"/>
      <c r="K22" s="3848"/>
      <c r="L22" s="3848"/>
      <c r="M22" s="3848"/>
      <c r="N22" s="3848"/>
      <c r="O22" s="3849"/>
      <c r="P22" s="2162"/>
      <c r="Q22" s="3914"/>
      <c r="R22" s="3915"/>
      <c r="S22" s="3915"/>
    </row>
    <row r="23" spans="1:35" s="2121" customFormat="1" ht="14.45" customHeight="1">
      <c r="A23" s="2151" t="s">
        <v>6640</v>
      </c>
      <c r="B23" s="2157" t="s">
        <v>6639</v>
      </c>
      <c r="C23" s="2158"/>
      <c r="D23" s="2159"/>
      <c r="E23" s="2170">
        <f>$O$233</f>
        <v>2</v>
      </c>
      <c r="F23" s="3847" t="str">
        <f>$A$248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23" s="3848"/>
      <c r="H23" s="3848"/>
      <c r="I23" s="3848"/>
      <c r="J23" s="3848"/>
      <c r="K23" s="3848"/>
      <c r="L23" s="3848"/>
      <c r="M23" s="3848"/>
      <c r="N23" s="3848"/>
      <c r="O23" s="3849"/>
      <c r="P23" s="2162"/>
      <c r="Q23" s="3914"/>
      <c r="R23" s="3915"/>
      <c r="S23" s="3915"/>
    </row>
    <row r="24" spans="1:35" s="2121" customFormat="1" ht="14.45" customHeight="1">
      <c r="A24" s="2164" t="s">
        <v>3370</v>
      </c>
      <c r="B24" s="2173" t="s">
        <v>6556</v>
      </c>
      <c r="C24" s="2174"/>
      <c r="D24" s="2175"/>
      <c r="E24" s="2165">
        <f>$O$253</f>
        <v>2</v>
      </c>
      <c r="F24" s="3908" t="str">
        <f>$A$257</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G24" s="3909"/>
      <c r="H24" s="3909"/>
      <c r="I24" s="3909"/>
      <c r="J24" s="3909"/>
      <c r="K24" s="3909"/>
      <c r="L24" s="3909"/>
      <c r="M24" s="3909"/>
      <c r="N24" s="3909"/>
      <c r="O24" s="3910"/>
      <c r="P24" s="2162"/>
      <c r="Q24" s="3914"/>
      <c r="R24" s="3915"/>
      <c r="S24" s="3915"/>
    </row>
    <row r="25" spans="1:35" s="2121" customFormat="1" ht="14.45" customHeight="1">
      <c r="A25" s="2151" t="s">
        <v>3374</v>
      </c>
      <c r="B25" s="2157" t="s">
        <v>3398</v>
      </c>
      <c r="C25" s="2158"/>
      <c r="D25" s="2159"/>
      <c r="E25" s="2170">
        <f>$O$271</f>
        <v>0</v>
      </c>
      <c r="F25" s="3847" t="str">
        <f>$A$275</f>
        <v xml:space="preserve">The proposed development is not located within the boundaries of a GICH community. </v>
      </c>
      <c r="G25" s="3848"/>
      <c r="H25" s="3848"/>
      <c r="I25" s="3848"/>
      <c r="J25" s="3848"/>
      <c r="K25" s="3848"/>
      <c r="L25" s="3848"/>
      <c r="M25" s="3848"/>
      <c r="N25" s="3848"/>
      <c r="O25" s="3849"/>
      <c r="P25" s="2162"/>
      <c r="Q25" s="3914"/>
      <c r="R25" s="3915"/>
      <c r="S25" s="3915"/>
    </row>
    <row r="26" spans="1:35" s="2121" customFormat="1" ht="14.45" customHeight="1">
      <c r="A26" s="2151" t="s">
        <v>3377</v>
      </c>
      <c r="B26" s="2157" t="s">
        <v>3399</v>
      </c>
      <c r="C26" s="2158"/>
      <c r="D26" s="2159"/>
      <c r="E26" s="2170">
        <f>$O$280</f>
        <v>1</v>
      </c>
      <c r="F26" s="3847" t="str">
        <f>$A$307</f>
        <v xml:space="preserve">Applicant has received a commitment for up to $1,765,557 in historic tax credit equity as a source of favorable financing. This LOI has been provided as evidence, along with the approved Part 1, Part 2 and Part A. </v>
      </c>
      <c r="G26" s="3848"/>
      <c r="H26" s="3848"/>
      <c r="I26" s="3848"/>
      <c r="J26" s="3848"/>
      <c r="K26" s="3848"/>
      <c r="L26" s="3848"/>
      <c r="M26" s="3848"/>
      <c r="N26" s="3848"/>
      <c r="O26" s="3849"/>
      <c r="P26" s="2162"/>
      <c r="Q26" s="3914"/>
      <c r="R26" s="3915"/>
      <c r="S26" s="3915"/>
    </row>
    <row r="27" spans="1:35" s="2121" customFormat="1" ht="14.45" customHeight="1">
      <c r="A27" s="2151" t="s">
        <v>3378</v>
      </c>
      <c r="B27" s="2157" t="s">
        <v>3400</v>
      </c>
      <c r="C27" s="2158"/>
      <c r="D27" s="2159"/>
      <c r="E27" s="2169">
        <f>$O$312</f>
        <v>0</v>
      </c>
      <c r="F27" s="3847" t="str">
        <f>$A$318</f>
        <v>The structure is deemed historic through the approved NPS Historic Preservation Certification Application Part 1 is provided. The historic structure houses 100% of the total units.</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5" customHeight="1">
      <c r="A28" s="2177" t="s">
        <v>3380</v>
      </c>
      <c r="B28" s="2178" t="s">
        <v>6637</v>
      </c>
      <c r="C28" s="2179"/>
      <c r="D28" s="2180"/>
      <c r="E28" s="2181">
        <f>$O$332</f>
        <v>3</v>
      </c>
      <c r="F28" s="3850" t="str">
        <f>$A$340</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3381</v>
      </c>
      <c r="B29" s="2157" t="s">
        <v>6133</v>
      </c>
      <c r="C29" s="2158"/>
      <c r="D29" s="2159"/>
      <c r="E29" s="2170">
        <f>$O$345</f>
        <v>6</v>
      </c>
      <c r="F29" s="3847" t="str">
        <f>$A$347</f>
        <v xml:space="preserve">The property has had average monthly occupancy over the proceeding 24 months of greater than 95%. 24 months of rent rolls and a table has been provided as evidence.  </v>
      </c>
      <c r="G29" s="3848"/>
      <c r="H29" s="3848"/>
      <c r="I29" s="3848"/>
      <c r="J29" s="3848"/>
      <c r="K29" s="3848"/>
      <c r="L29" s="3848"/>
      <c r="M29" s="3848"/>
      <c r="N29" s="3848"/>
      <c r="O29" s="3849"/>
      <c r="P29" s="2162"/>
      <c r="Q29" s="2176"/>
      <c r="R29" s="2118"/>
      <c r="S29" s="2118"/>
    </row>
    <row r="30" spans="1:35" s="2121" customFormat="1" ht="14.45" customHeight="1">
      <c r="A30" s="2151" t="s">
        <v>3804</v>
      </c>
      <c r="B30" s="2157" t="s">
        <v>6554</v>
      </c>
      <c r="C30" s="2158"/>
      <c r="D30" s="2159"/>
      <c r="E30" s="2170">
        <f>$O$358</f>
        <v>4</v>
      </c>
      <c r="F30" s="3847" t="str">
        <f>$A$360</f>
        <v>The property has a HUD Section 8 PBRA Contract that covers 202 units. A copy of the HUD PBRA contract has been provided in Section 02 and in Section 52.</v>
      </c>
      <c r="G30" s="3848"/>
      <c r="H30" s="3848"/>
      <c r="I30" s="3848"/>
      <c r="J30" s="3848"/>
      <c r="K30" s="3848"/>
      <c r="L30" s="3848"/>
      <c r="M30" s="3848"/>
      <c r="N30" s="3848"/>
      <c r="O30" s="3849"/>
      <c r="P30" s="2162"/>
      <c r="Q30" s="2176"/>
    </row>
    <row r="31" spans="1:35" s="2121" customFormat="1" ht="14.45" customHeight="1">
      <c r="A31" s="2151" t="s">
        <v>6557</v>
      </c>
      <c r="B31" s="2157" t="s">
        <v>6555</v>
      </c>
      <c r="C31" s="2158"/>
      <c r="D31" s="2159"/>
      <c r="E31" s="2170">
        <f>$O$365</f>
        <v>0</v>
      </c>
      <c r="F31" s="3847" t="str">
        <f>$A$369</f>
        <v>The property was PIS in 2004 per the 8609s provided. Please note that no updated Cert of Occupancy was not issued as part of the 2004 renovation, as such the 8609 was provided in lieu of that document.</v>
      </c>
      <c r="G31" s="3848"/>
      <c r="H31" s="3848"/>
      <c r="I31" s="3848"/>
      <c r="J31" s="3848"/>
      <c r="K31" s="3848"/>
      <c r="L31" s="3848"/>
      <c r="M31" s="3848"/>
      <c r="N31" s="3848"/>
      <c r="O31" s="3849"/>
      <c r="P31" s="2455"/>
      <c r="Q31" s="2176"/>
    </row>
    <row r="32" spans="1:35" s="2121" customFormat="1" ht="14.45" customHeight="1">
      <c r="A32" s="2456" t="s">
        <v>6918</v>
      </c>
      <c r="B32" s="2178" t="s">
        <v>6934</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6948</v>
      </c>
      <c r="B34" s="3891"/>
      <c r="C34" s="3891"/>
      <c r="D34" s="3891"/>
      <c r="E34" s="3874" t="str">
        <f>IF(OR((C36-A36&gt;0),(D36-A36&gt;0)),"Points Exceed Max!","")</f>
        <v/>
      </c>
      <c r="F34" s="4049" t="s">
        <v>6882</v>
      </c>
      <c r="G34" s="4050"/>
      <c r="H34" s="4050"/>
      <c r="I34" s="4051"/>
      <c r="J34" s="3855" t="s">
        <v>6141</v>
      </c>
      <c r="K34" s="3856"/>
      <c r="L34" s="3856"/>
      <c r="M34" s="3857"/>
      <c r="O34" s="4054" t="s">
        <v>6883</v>
      </c>
      <c r="P34" s="4054"/>
      <c r="Q34" s="2185"/>
    </row>
    <row r="35" spans="1:35" ht="13.5" customHeight="1">
      <c r="A35" s="3879" t="s">
        <v>6908</v>
      </c>
      <c r="B35" s="3880"/>
      <c r="C35" s="2461" t="s">
        <v>2889</v>
      </c>
      <c r="D35" s="2460" t="s">
        <v>245</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21" t="s">
        <v>6507</v>
      </c>
      <c r="G36" s="3922"/>
      <c r="H36" s="3922"/>
      <c r="I36" s="3923"/>
      <c r="J36" s="3861" t="s">
        <v>6102</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24"/>
      <c r="G37" s="3925"/>
      <c r="H37" s="3925"/>
      <c r="I37" s="3926"/>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3806</v>
      </c>
      <c r="F42" s="2123"/>
      <c r="N42" s="2254"/>
      <c r="P42" s="2204">
        <f>SUM(P43:P45)</f>
        <v>0</v>
      </c>
    </row>
    <row r="43" spans="1:35">
      <c r="A43" s="2138"/>
      <c r="B43" s="2205" t="s">
        <v>1844</v>
      </c>
      <c r="C43" s="2121" t="s">
        <v>3809</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3808</v>
      </c>
      <c r="D45" s="2121"/>
      <c r="E45" s="2121"/>
      <c r="F45" s="2123"/>
      <c r="H45" s="2121"/>
      <c r="J45" s="2141"/>
      <c r="N45" s="2214"/>
      <c r="O45" s="2120"/>
      <c r="P45" s="2208"/>
    </row>
    <row r="46" spans="1:35">
      <c r="C46" s="3867" t="s">
        <v>6845</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0" t="s">
        <v>6875</v>
      </c>
      <c r="B50" s="3870"/>
      <c r="C50" s="3870"/>
      <c r="D50" s="3870"/>
      <c r="E50" s="3870"/>
      <c r="F50" s="2216" t="s">
        <v>3179</v>
      </c>
      <c r="G50" s="3870" t="s">
        <v>6876</v>
      </c>
      <c r="H50" s="3870"/>
      <c r="I50" s="3870"/>
      <c r="J50" s="2216" t="s">
        <v>3179</v>
      </c>
      <c r="K50" s="3881" t="s">
        <v>6877</v>
      </c>
      <c r="L50" s="3881"/>
      <c r="M50" s="3881"/>
      <c r="N50" s="3881"/>
      <c r="O50" s="3885" t="s">
        <v>3179</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3819</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6647</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3814</v>
      </c>
      <c r="G69" s="2121" t="s">
        <v>3815</v>
      </c>
      <c r="I69" s="2238"/>
      <c r="J69" s="2239">
        <f>'Part V-Revenues &amp; Expenses'!$B$50</f>
        <v>60</v>
      </c>
      <c r="L69" s="2185"/>
      <c r="M69" s="2123">
        <v>2</v>
      </c>
      <c r="N69" s="2377"/>
      <c r="O69" s="2240"/>
      <c r="P69" s="2241"/>
      <c r="Q69" s="2242" t="str">
        <f>IF(OR($O69=$M69,$O69=0,$O69=""),"","*CHECK!*")</f>
        <v/>
      </c>
      <c r="R69" s="2305"/>
    </row>
    <row r="70" spans="1:19" s="2121" customFormat="1" ht="15.95" customHeight="1">
      <c r="A70" s="2235"/>
      <c r="B70" s="2332"/>
      <c r="C70" s="2237" t="s">
        <v>3816</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1</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3369</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3281</v>
      </c>
      <c r="H79" s="2254"/>
      <c r="I79" s="2118"/>
      <c r="J79" s="2118"/>
      <c r="K79" s="2118"/>
      <c r="L79" s="2118"/>
      <c r="M79" s="2123" t="s">
        <v>1164</v>
      </c>
      <c r="N79" s="2254"/>
      <c r="O79" s="2414"/>
      <c r="P79" s="2415"/>
      <c r="R79" s="2305"/>
    </row>
    <row r="80" spans="1:19" ht="15.95" customHeight="1" thickBot="1">
      <c r="A80" s="2121"/>
      <c r="B80" s="2260" t="s">
        <v>3242</v>
      </c>
      <c r="C80" s="2121"/>
      <c r="D80" s="2121"/>
      <c r="E80" s="2121"/>
      <c r="F80" s="2121"/>
      <c r="G80" s="2121"/>
      <c r="H80" s="2121"/>
      <c r="I80" s="2411"/>
      <c r="J80" s="2411"/>
      <c r="K80" s="2411"/>
      <c r="L80" s="2411"/>
      <c r="M80" s="2123"/>
      <c r="O80" s="2133"/>
    </row>
    <row r="81" spans="1:21" ht="15.95" customHeight="1" thickTop="1" thickBot="1">
      <c r="A81" s="3931" t="s">
        <v>7087</v>
      </c>
      <c r="B81" s="3932"/>
      <c r="C81" s="3932"/>
      <c r="D81" s="3932"/>
      <c r="E81" s="3932"/>
      <c r="F81" s="3932"/>
      <c r="G81" s="3932"/>
      <c r="H81" s="3932"/>
      <c r="I81" s="3932"/>
      <c r="J81" s="3932"/>
      <c r="K81" s="3932"/>
      <c r="L81" s="3932"/>
      <c r="M81" s="3932"/>
      <c r="N81" s="3932"/>
      <c r="O81" s="3932"/>
      <c r="P81" s="3933"/>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6265</v>
      </c>
      <c r="T86" s="2271" t="s">
        <v>6146</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3328</v>
      </c>
      <c r="F88" s="3934" t="s">
        <v>3216</v>
      </c>
      <c r="G88" s="3934"/>
      <c r="H88" s="3934"/>
      <c r="I88" s="3934"/>
      <c r="J88" s="3934" t="s">
        <v>3217</v>
      </c>
      <c r="K88" s="3934"/>
      <c r="L88" s="3934"/>
      <c r="M88" s="3934"/>
      <c r="N88" s="2254"/>
      <c r="O88" s="4093" t="s">
        <v>6847</v>
      </c>
      <c r="P88" s="4093"/>
      <c r="R88" s="2157"/>
      <c r="S88" s="2275">
        <v>0.5</v>
      </c>
      <c r="T88" s="2275">
        <v>4.5</v>
      </c>
      <c r="U88" s="2267"/>
    </row>
    <row r="89" spans="1:21" ht="15.95" customHeight="1">
      <c r="B89" s="2272"/>
      <c r="C89" s="2420" t="s">
        <v>6848</v>
      </c>
      <c r="F89" s="3942"/>
      <c r="G89" s="3943"/>
      <c r="H89" s="3944"/>
      <c r="I89" s="3945"/>
      <c r="J89" s="3942"/>
      <c r="K89" s="3943"/>
      <c r="L89" s="3944"/>
      <c r="M89" s="3945"/>
      <c r="N89" s="2120"/>
      <c r="O89" s="4094"/>
      <c r="P89" s="4094"/>
      <c r="R89" s="2274" t="s">
        <v>6672</v>
      </c>
      <c r="S89" s="2280">
        <v>1</v>
      </c>
      <c r="T89" s="2280">
        <v>4</v>
      </c>
      <c r="U89" s="2267"/>
    </row>
    <row r="90" spans="1:21" ht="15.95" customHeight="1">
      <c r="A90" s="2272"/>
      <c r="B90" s="2158"/>
      <c r="C90" s="2420" t="s">
        <v>6849</v>
      </c>
      <c r="F90" s="3953"/>
      <c r="G90" s="3954"/>
      <c r="H90" s="3955"/>
      <c r="I90" s="3956"/>
      <c r="J90" s="3953"/>
      <c r="K90" s="3954"/>
      <c r="L90" s="3955"/>
      <c r="M90" s="3956"/>
      <c r="N90" s="2254"/>
      <c r="O90" s="2276"/>
      <c r="P90" s="2277"/>
      <c r="R90" s="2278"/>
      <c r="S90" s="2281">
        <v>0.25</v>
      </c>
      <c r="T90" s="2281">
        <v>3</v>
      </c>
      <c r="U90" s="2267"/>
    </row>
    <row r="91" spans="1:21" ht="15.95" customHeight="1">
      <c r="A91" s="2158"/>
      <c r="B91" s="3951" t="s">
        <v>6887</v>
      </c>
      <c r="C91" s="3951"/>
      <c r="D91" s="3951"/>
      <c r="E91" s="3951"/>
      <c r="F91" s="2139" t="s">
        <v>6850</v>
      </c>
      <c r="G91" s="3927" t="s">
        <v>1672</v>
      </c>
      <c r="H91" s="3927"/>
      <c r="I91" s="3927"/>
      <c r="J91" s="3927" t="s">
        <v>6884</v>
      </c>
      <c r="K91" s="3927"/>
      <c r="L91" s="3927"/>
      <c r="M91" s="3927"/>
      <c r="N91" s="3927"/>
      <c r="O91" s="3927"/>
      <c r="P91" s="3927"/>
      <c r="R91" s="2279"/>
      <c r="S91" s="2275">
        <v>0.5</v>
      </c>
      <c r="T91" s="2275">
        <v>2</v>
      </c>
      <c r="U91" s="2267"/>
    </row>
    <row r="92" spans="1:21" ht="15.95" customHeight="1">
      <c r="A92" s="2158"/>
      <c r="B92" s="4058"/>
      <c r="C92" s="4058"/>
      <c r="D92" s="4058"/>
      <c r="E92" s="4058"/>
      <c r="F92" s="2416"/>
      <c r="G92" s="3952"/>
      <c r="H92" s="3952"/>
      <c r="I92" s="3952"/>
      <c r="J92" s="3952"/>
      <c r="K92" s="3952"/>
      <c r="L92" s="3952"/>
      <c r="M92" s="3952"/>
      <c r="N92" s="3952"/>
      <c r="O92" s="3952"/>
      <c r="P92" s="3952"/>
      <c r="R92" s="2274" t="s">
        <v>6673</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3239</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8" t="s">
        <v>6879</v>
      </c>
      <c r="D95" s="3848"/>
      <c r="E95" s="3848"/>
      <c r="F95" s="3848"/>
      <c r="G95" s="3848"/>
      <c r="H95" s="3848"/>
      <c r="I95" s="3848"/>
      <c r="J95" s="3848"/>
      <c r="K95" s="3848"/>
      <c r="L95" s="3848"/>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3915"/>
      <c r="K96" s="3915"/>
      <c r="L96" s="3915"/>
      <c r="M96" s="2123">
        <v>5</v>
      </c>
      <c r="N96" s="2144"/>
      <c r="O96" s="2258"/>
      <c r="P96" s="2259"/>
    </row>
    <row r="97" spans="1:21" s="2157" customFormat="1" ht="15.95" customHeight="1">
      <c r="A97" s="2283" t="s">
        <v>1843</v>
      </c>
      <c r="B97" s="2289" t="s">
        <v>3240</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8" t="s">
        <v>6885</v>
      </c>
      <c r="D100" s="3848"/>
      <c r="E100" s="3848"/>
      <c r="F100" s="3848"/>
      <c r="G100" s="3848"/>
      <c r="H100" s="3848"/>
      <c r="I100" s="3848"/>
      <c r="J100" s="3848"/>
      <c r="K100" s="3848"/>
      <c r="L100" s="3848"/>
      <c r="M100" s="2286">
        <v>2</v>
      </c>
      <c r="N100" s="2413"/>
      <c r="O100" s="2418"/>
      <c r="P100" s="2419"/>
    </row>
    <row r="101" spans="1:21" ht="15.95" customHeight="1" thickBot="1">
      <c r="A101" s="2121"/>
      <c r="B101" s="2260" t="s">
        <v>3242</v>
      </c>
      <c r="C101" s="2121"/>
      <c r="D101" s="2121"/>
      <c r="E101" s="2121"/>
      <c r="F101" s="2121"/>
      <c r="G101" s="2121"/>
      <c r="H101" s="2121"/>
      <c r="K101" s="2121"/>
      <c r="M101" s="2123"/>
      <c r="O101" s="2133"/>
    </row>
    <row r="102" spans="1:21" ht="15.95" customHeight="1" thickTop="1" thickBot="1">
      <c r="A102" s="3931" t="s">
        <v>7087</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5" customHeight="1" thickBot="1">
      <c r="A106" s="2142" t="s">
        <v>720</v>
      </c>
      <c r="B106" s="2143" t="s">
        <v>6150</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964" t="s">
        <v>6910</v>
      </c>
      <c r="G107" s="3964"/>
      <c r="H107" s="3964" t="s">
        <v>6911</v>
      </c>
      <c r="I107" s="3964"/>
      <c r="J107" s="3966" t="s">
        <v>6935</v>
      </c>
      <c r="K107" s="3967"/>
      <c r="L107" s="4095" t="s">
        <v>6890</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5" customHeight="1">
      <c r="B109" s="2435" t="s">
        <v>6631</v>
      </c>
      <c r="C109" s="2436"/>
      <c r="D109" s="2433"/>
      <c r="E109" s="2433"/>
      <c r="F109" s="3965"/>
      <c r="G109" s="3965"/>
      <c r="H109" s="3965"/>
      <c r="I109" s="3965"/>
      <c r="J109" s="3970"/>
      <c r="K109" s="3971"/>
      <c r="L109" s="3965"/>
      <c r="M109" s="3965"/>
      <c r="N109" s="3965"/>
      <c r="O109" s="4097"/>
      <c r="P109" s="2304"/>
    </row>
    <row r="110" spans="1:21" ht="15.95" customHeight="1">
      <c r="B110" s="3957"/>
      <c r="C110" s="3958"/>
      <c r="D110" s="3958"/>
      <c r="E110" s="3959"/>
      <c r="F110" s="3960"/>
      <c r="G110" s="3961"/>
      <c r="H110" s="3960"/>
      <c r="I110" s="3961"/>
      <c r="J110" s="3962"/>
      <c r="K110" s="3963"/>
      <c r="L110" s="3962"/>
      <c r="M110" s="4092"/>
      <c r="N110" s="4092"/>
      <c r="O110" s="3963"/>
      <c r="P110" s="2257"/>
    </row>
    <row r="111" spans="1:21" ht="15.95" customHeight="1">
      <c r="B111" s="3972"/>
      <c r="C111" s="3973"/>
      <c r="D111" s="3973"/>
      <c r="E111" s="3974"/>
      <c r="F111" s="3975"/>
      <c r="G111" s="3976"/>
      <c r="H111" s="3975"/>
      <c r="I111" s="3976"/>
      <c r="J111" s="3977"/>
      <c r="K111" s="3978"/>
      <c r="L111" s="3977"/>
      <c r="M111" s="4091"/>
      <c r="N111" s="4091"/>
      <c r="O111" s="3978"/>
      <c r="P111" s="2270"/>
    </row>
    <row r="112" spans="1:21" ht="15.95" customHeight="1">
      <c r="B112" s="3972"/>
      <c r="C112" s="3973"/>
      <c r="D112" s="3973"/>
      <c r="E112" s="3974"/>
      <c r="F112" s="3975"/>
      <c r="G112" s="3976"/>
      <c r="H112" s="3975"/>
      <c r="I112" s="3976"/>
      <c r="J112" s="3977"/>
      <c r="K112" s="3978"/>
      <c r="L112" s="3977"/>
      <c r="M112" s="4091"/>
      <c r="N112" s="4091"/>
      <c r="O112" s="3978"/>
      <c r="P112" s="2270"/>
    </row>
    <row r="113" spans="1:21" ht="15.95" customHeight="1">
      <c r="B113" s="3972"/>
      <c r="C113" s="3973"/>
      <c r="D113" s="3973"/>
      <c r="E113" s="3974"/>
      <c r="F113" s="3975"/>
      <c r="G113" s="3976"/>
      <c r="H113" s="3975"/>
      <c r="I113" s="3976"/>
      <c r="J113" s="3977"/>
      <c r="K113" s="3978"/>
      <c r="L113" s="3977"/>
      <c r="M113" s="4091"/>
      <c r="N113" s="4091"/>
      <c r="O113" s="3978"/>
      <c r="P113" s="2270"/>
    </row>
    <row r="114" spans="1:21" ht="15.95" customHeight="1">
      <c r="B114" s="3972"/>
      <c r="C114" s="3973"/>
      <c r="D114" s="3973"/>
      <c r="E114" s="3974"/>
      <c r="F114" s="3975"/>
      <c r="G114" s="3976"/>
      <c r="H114" s="3975"/>
      <c r="I114" s="3976"/>
      <c r="J114" s="3977"/>
      <c r="K114" s="3978"/>
      <c r="L114" s="3977"/>
      <c r="M114" s="4091"/>
      <c r="N114" s="4091"/>
      <c r="O114" s="3978"/>
      <c r="P114" s="2270"/>
    </row>
    <row r="115" spans="1:21" ht="15.95" customHeight="1">
      <c r="B115" s="3979"/>
      <c r="C115" s="3980"/>
      <c r="D115" s="3980"/>
      <c r="E115" s="3981"/>
      <c r="F115" s="3982"/>
      <c r="G115" s="3983"/>
      <c r="H115" s="3982"/>
      <c r="I115" s="3983"/>
      <c r="J115" s="3984"/>
      <c r="K115" s="3985"/>
      <c r="L115" s="3984"/>
      <c r="M115" s="3986"/>
      <c r="N115" s="3986"/>
      <c r="O115" s="3985"/>
      <c r="P115" s="2247"/>
    </row>
    <row r="116" spans="1:21" ht="15.95" customHeight="1" thickBot="1">
      <c r="A116" s="2121"/>
      <c r="B116" s="2260" t="s">
        <v>3242</v>
      </c>
      <c r="C116" s="2121"/>
      <c r="D116" s="2121"/>
      <c r="E116" s="2121"/>
      <c r="F116" s="2121"/>
      <c r="G116" s="2121"/>
      <c r="H116" s="2121"/>
      <c r="I116" s="2121"/>
      <c r="J116" s="2121"/>
      <c r="K116" s="2121"/>
      <c r="M116" s="2123"/>
      <c r="O116" s="2133"/>
    </row>
    <row r="117" spans="1:21" ht="15.95" customHeight="1" thickTop="1" thickBot="1">
      <c r="A117" s="3931" t="s">
        <v>7087</v>
      </c>
      <c r="B117" s="3932"/>
      <c r="C117" s="3932"/>
      <c r="D117" s="3932"/>
      <c r="E117" s="3932"/>
      <c r="F117" s="3932"/>
      <c r="G117" s="3932"/>
      <c r="H117" s="3932"/>
      <c r="I117" s="3932"/>
      <c r="J117" s="3932"/>
      <c r="K117" s="3932"/>
      <c r="L117" s="3932"/>
      <c r="M117" s="3932"/>
      <c r="N117" s="3932"/>
      <c r="O117" s="3932"/>
      <c r="P117" s="3933"/>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3341</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6178</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57" t="s">
        <v>6853</v>
      </c>
      <c r="N125" s="3958"/>
      <c r="O125" s="3958"/>
      <c r="P125" s="3959"/>
      <c r="S125" s="2118"/>
      <c r="T125" s="2118"/>
      <c r="U125" s="2118"/>
    </row>
    <row r="126" spans="1:21" s="2121" customFormat="1" ht="15.95" customHeight="1">
      <c r="B126" s="2254"/>
      <c r="C126" s="2121" t="s">
        <v>6854</v>
      </c>
      <c r="L126" s="2254"/>
      <c r="M126" s="3972" t="s">
        <v>6853</v>
      </c>
      <c r="N126" s="3973"/>
      <c r="O126" s="3973"/>
      <c r="P126" s="3974"/>
      <c r="S126" s="2118"/>
      <c r="T126" s="2118"/>
      <c r="U126" s="2118"/>
    </row>
    <row r="127" spans="1:21" s="2121" customFormat="1" ht="15.95" customHeight="1">
      <c r="B127" s="2254"/>
      <c r="C127" s="2121" t="s">
        <v>6855</v>
      </c>
      <c r="L127" s="2254"/>
      <c r="M127" s="3972" t="s">
        <v>6853</v>
      </c>
      <c r="N127" s="3973"/>
      <c r="O127" s="3973"/>
      <c r="P127" s="3974"/>
      <c r="Q127" s="2312">
        <f>IF(K127="Yes",1,0)</f>
        <v>0</v>
      </c>
      <c r="S127" s="2118"/>
      <c r="T127" s="2118"/>
      <c r="U127" s="2118"/>
    </row>
    <row r="128" spans="1:21" s="2121" customFormat="1" ht="15.95" customHeight="1">
      <c r="A128" s="2254"/>
      <c r="B128" s="2254"/>
      <c r="C128" s="2121" t="s">
        <v>6856</v>
      </c>
      <c r="L128" s="2254"/>
      <c r="M128" s="3972" t="s">
        <v>6853</v>
      </c>
      <c r="N128" s="3973"/>
      <c r="O128" s="3973"/>
      <c r="P128" s="3974"/>
      <c r="Q128" s="2312">
        <f>IF(K128="Yes",1,0)</f>
        <v>0</v>
      </c>
      <c r="S128" s="2118"/>
      <c r="T128" s="2118"/>
      <c r="U128" s="2118"/>
    </row>
    <row r="129" spans="1:22" s="2121" customFormat="1" ht="15.95" customHeight="1">
      <c r="A129" s="2254"/>
      <c r="B129" s="2254"/>
      <c r="C129" s="2121" t="s">
        <v>6893</v>
      </c>
      <c r="L129" s="2254"/>
      <c r="M129" s="3979" t="s">
        <v>6853</v>
      </c>
      <c r="N129" s="3980"/>
      <c r="O129" s="3980"/>
      <c r="P129" s="3981"/>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6253</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48" t="s">
        <v>6857</v>
      </c>
      <c r="D132" s="3848"/>
      <c r="E132" s="3848"/>
      <c r="F132" s="3848"/>
      <c r="G132" s="3848"/>
      <c r="H132" s="3848"/>
      <c r="I132" s="3848"/>
      <c r="J132" s="3848"/>
      <c r="K132" s="3848"/>
      <c r="L132" s="3848"/>
      <c r="M132" s="2286">
        <v>1</v>
      </c>
      <c r="N132" s="2310"/>
      <c r="O132" s="2314"/>
      <c r="P132" s="2315"/>
      <c r="Q132" s="2242" t="str">
        <f>IF(OR($O132=$M132,$O132=0,$O132=""),"","*CHECK!*")</f>
        <v/>
      </c>
      <c r="R132" s="2305"/>
    </row>
    <row r="133" spans="1:22" ht="30.75" customHeight="1">
      <c r="A133" s="2235"/>
      <c r="B133" s="2310"/>
      <c r="C133" s="3848" t="s">
        <v>6901</v>
      </c>
      <c r="D133" s="3848"/>
      <c r="E133" s="3848"/>
      <c r="F133" s="3848"/>
      <c r="G133" s="3848"/>
      <c r="H133" s="3848"/>
      <c r="I133" s="3848"/>
      <c r="J133" s="3848"/>
      <c r="K133" s="3848"/>
      <c r="L133" s="3848"/>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3823</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3242</v>
      </c>
      <c r="M136" s="2123"/>
      <c r="N136" s="2123"/>
      <c r="O136" s="2133"/>
      <c r="P136" s="2124"/>
    </row>
    <row r="137" spans="1:22" ht="15.95" customHeight="1" thickTop="1" thickBot="1">
      <c r="A137" s="3931" t="s">
        <v>7087</v>
      </c>
      <c r="B137" s="3932"/>
      <c r="C137" s="3932"/>
      <c r="D137" s="3932"/>
      <c r="E137" s="3932"/>
      <c r="F137" s="3932"/>
      <c r="G137" s="3932"/>
      <c r="H137" s="3932"/>
      <c r="I137" s="3932"/>
      <c r="J137" s="3932"/>
      <c r="K137" s="3932"/>
      <c r="L137" s="3932"/>
      <c r="M137" s="3932"/>
      <c r="N137" s="3932"/>
      <c r="O137" s="3932"/>
      <c r="P137" s="3933"/>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3342</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6254</v>
      </c>
      <c r="C143" s="2161"/>
      <c r="D143" s="2161"/>
      <c r="E143" s="2161"/>
      <c r="F143" s="2161"/>
      <c r="G143" s="2161"/>
      <c r="H143" s="2161"/>
      <c r="L143" s="2322"/>
      <c r="M143" s="2124"/>
      <c r="N143" s="2250"/>
      <c r="O143" s="2251"/>
      <c r="P143" s="2323"/>
      <c r="Q143" s="2203"/>
      <c r="R143" s="2305"/>
    </row>
    <row r="144" spans="1:22" ht="15.95" customHeight="1">
      <c r="A144" s="2142"/>
      <c r="B144" s="2121" t="s">
        <v>3675</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87" t="s">
        <v>6900</v>
      </c>
      <c r="C145" s="3987"/>
      <c r="D145" s="3987"/>
      <c r="E145" s="3987"/>
      <c r="F145" s="3987"/>
      <c r="G145" s="3987"/>
      <c r="H145" s="3987"/>
      <c r="I145" s="3987"/>
      <c r="J145" s="3987"/>
      <c r="K145" s="3987"/>
      <c r="L145" s="3987"/>
      <c r="M145" s="3987"/>
      <c r="N145" s="2124"/>
      <c r="O145" s="2325"/>
      <c r="P145" s="2326"/>
      <c r="Q145" s="2203"/>
      <c r="R145" s="2118"/>
      <c r="S145" s="2118"/>
      <c r="T145" s="2118"/>
      <c r="U145" s="2118"/>
    </row>
    <row r="146" spans="1:27" ht="15.95" customHeight="1" thickBot="1">
      <c r="A146" s="2121"/>
      <c r="B146" s="2260" t="s">
        <v>3242</v>
      </c>
      <c r="C146" s="2121"/>
      <c r="D146" s="2121"/>
      <c r="E146" s="2121"/>
      <c r="F146" s="2121"/>
      <c r="G146" s="2121"/>
      <c r="H146" s="2121"/>
      <c r="I146" s="2121"/>
      <c r="M146" s="2123"/>
      <c r="O146" s="2133"/>
    </row>
    <row r="147" spans="1:27" ht="15.95" customHeight="1" thickTop="1" thickBot="1">
      <c r="A147" s="3931" t="s">
        <v>7087</v>
      </c>
      <c r="B147" s="3932"/>
      <c r="C147" s="3932"/>
      <c r="D147" s="3932"/>
      <c r="E147" s="3932"/>
      <c r="F147" s="3932"/>
      <c r="G147" s="3932"/>
      <c r="H147" s="3932"/>
      <c r="I147" s="3932"/>
      <c r="J147" s="3932"/>
      <c r="K147" s="3932"/>
      <c r="L147" s="3932"/>
      <c r="M147" s="3932"/>
      <c r="N147" s="3932"/>
      <c r="O147" s="3932"/>
      <c r="P147" s="3933"/>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3824</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6256</v>
      </c>
      <c r="D154" s="2121"/>
      <c r="E154" s="2143"/>
      <c r="F154" s="2143"/>
      <c r="G154" s="2121"/>
      <c r="H154" s="2121"/>
      <c r="I154" s="2121"/>
      <c r="J154" s="3994" t="s">
        <v>3205</v>
      </c>
      <c r="K154" s="3995"/>
      <c r="L154" s="3996" t="s">
        <v>3205</v>
      </c>
      <c r="M154" s="3997"/>
      <c r="N154" s="2123"/>
      <c r="R154" s="2203"/>
      <c r="S154" s="2121"/>
    </row>
    <row r="155" spans="1:27" ht="15.95" customHeight="1">
      <c r="C155" s="2331" t="s">
        <v>6894</v>
      </c>
      <c r="J155" s="3998"/>
      <c r="K155" s="3999"/>
      <c r="L155" s="3999"/>
      <c r="M155" s="4000"/>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6215</v>
      </c>
      <c r="K157" s="2254"/>
      <c r="L157" s="2254"/>
      <c r="M157" s="2123">
        <v>4</v>
      </c>
      <c r="N157" s="2254"/>
      <c r="O157" s="2308"/>
      <c r="P157" s="2309"/>
      <c r="Q157" s="2242" t="str">
        <f>IF(O157&lt;=M157,"","*CHECK!*")</f>
        <v/>
      </c>
      <c r="R157" s="2305"/>
      <c r="S157" s="2118"/>
      <c r="T157" s="2118"/>
      <c r="U157" s="2118"/>
    </row>
    <row r="158" spans="1:27" ht="15.95" customHeight="1">
      <c r="C158" s="2333" t="s">
        <v>6221</v>
      </c>
      <c r="E158" s="4001" t="s">
        <v>6220</v>
      </c>
      <c r="F158" s="4001"/>
      <c r="G158" s="4001"/>
      <c r="H158" s="4001"/>
      <c r="I158" s="2139" t="s">
        <v>6895</v>
      </c>
      <c r="J158" s="4001" t="s">
        <v>6220</v>
      </c>
      <c r="K158" s="4001"/>
      <c r="L158" s="4001"/>
      <c r="M158" s="4001"/>
      <c r="N158" s="2120"/>
      <c r="O158" s="2120"/>
      <c r="P158" s="2120"/>
    </row>
    <row r="159" spans="1:27" ht="15.95" customHeight="1">
      <c r="C159" s="2121" t="s">
        <v>6219</v>
      </c>
      <c r="E159" s="3988"/>
      <c r="F159" s="3989"/>
      <c r="G159" s="3989"/>
      <c r="H159" s="3990"/>
      <c r="I159" s="2441"/>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5" customHeight="1">
      <c r="B160" s="2227"/>
      <c r="C160" s="2121" t="s">
        <v>6216</v>
      </c>
      <c r="E160" s="3988"/>
      <c r="F160" s="3989"/>
      <c r="G160" s="3989"/>
      <c r="H160" s="3990"/>
      <c r="I160" s="2442"/>
      <c r="J160" s="3991"/>
      <c r="K160" s="3992"/>
      <c r="L160" s="3992"/>
      <c r="M160" s="3993"/>
      <c r="N160" s="2120"/>
      <c r="Q160" s="2132"/>
      <c r="R160" s="2132"/>
      <c r="S160" s="2132"/>
      <c r="T160" s="2132"/>
      <c r="U160" s="2132"/>
      <c r="V160" s="2132"/>
      <c r="W160" s="2132"/>
      <c r="X160" s="2132"/>
      <c r="Y160" s="2132"/>
      <c r="Z160" s="2132"/>
      <c r="AA160" s="2334"/>
    </row>
    <row r="161" spans="1:27" ht="15.95" customHeight="1">
      <c r="C161" s="2121" t="s">
        <v>6217</v>
      </c>
      <c r="E161" s="4004"/>
      <c r="F161" s="4005"/>
      <c r="G161" s="4005"/>
      <c r="H161" s="4006"/>
      <c r="I161" s="2443"/>
      <c r="J161" s="4007"/>
      <c r="K161" s="4008"/>
      <c r="L161" s="4008"/>
      <c r="M161" s="4009"/>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3242</v>
      </c>
      <c r="C164" s="2121"/>
      <c r="D164" s="2121"/>
      <c r="E164" s="2121"/>
      <c r="F164" s="2121"/>
      <c r="G164" s="2121"/>
      <c r="H164" s="2121"/>
      <c r="I164" s="2121"/>
      <c r="J164" s="2121"/>
      <c r="K164" s="2121"/>
      <c r="M164" s="2123"/>
      <c r="O164" s="2133"/>
    </row>
    <row r="165" spans="1:27" ht="15.95" customHeight="1" thickTop="1" thickBot="1">
      <c r="A165" s="3931" t="s">
        <v>7087</v>
      </c>
      <c r="B165" s="3932"/>
      <c r="C165" s="3932"/>
      <c r="D165" s="3932"/>
      <c r="E165" s="3932"/>
      <c r="F165" s="3932"/>
      <c r="G165" s="3932"/>
      <c r="H165" s="3932"/>
      <c r="I165" s="3932"/>
      <c r="J165" s="3932"/>
      <c r="K165" s="3932"/>
      <c r="L165" s="3932"/>
      <c r="M165" s="3932"/>
      <c r="N165" s="3932"/>
      <c r="O165" s="3932"/>
      <c r="P165" s="3933"/>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4036</v>
      </c>
      <c r="G171" s="2123" t="s">
        <v>3153</v>
      </c>
      <c r="H171" s="2339">
        <f>IF('Part V-Revenues &amp; Expenses'!$P$67=0,0,'Part V-Revenues &amp; Expenses'!$P$64/'Part V-Revenues &amp; Expenses'!$P$67)</f>
        <v>0</v>
      </c>
      <c r="K171" s="4010" t="str">
        <f>'Part V-Revenues &amp; Expenses'!$O$53</f>
        <v>40% of Units at 60% of AMI</v>
      </c>
      <c r="L171" s="4011"/>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3959</v>
      </c>
      <c r="M172" s="2123">
        <v>1</v>
      </c>
      <c r="N172" s="2254"/>
      <c r="O172" s="2314"/>
      <c r="P172" s="2315"/>
      <c r="Q172" s="2320" t="str">
        <f>IF(OR($O172=$M172,$O172=0,$O172=""),"","*CHECK!*")</f>
        <v/>
      </c>
      <c r="R172" s="2305"/>
    </row>
    <row r="173" spans="1:27" ht="15.95" customHeight="1">
      <c r="A173" s="2124" t="s">
        <v>1843</v>
      </c>
      <c r="B173" s="2227" t="s">
        <v>3814</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3343</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3264</v>
      </c>
      <c r="D181" s="2184"/>
      <c r="E181" s="2184"/>
      <c r="F181" s="2184"/>
      <c r="G181" s="2184"/>
      <c r="H181" s="2184"/>
      <c r="L181" s="2184"/>
      <c r="M181" s="4002"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3265</v>
      </c>
      <c r="D182" s="2184"/>
      <c r="L182" s="2184"/>
      <c r="M182" s="4002"/>
      <c r="N182" s="2254"/>
      <c r="O182" s="2246"/>
      <c r="P182" s="2247"/>
      <c r="Q182" s="2342"/>
      <c r="R182" s="2118"/>
      <c r="S182" s="2118"/>
      <c r="T182" s="2118"/>
      <c r="U182" s="2118"/>
      <c r="V182" s="2118"/>
    </row>
    <row r="183" spans="1:27" ht="15.95" customHeight="1" thickBot="1">
      <c r="A183" s="2121"/>
      <c r="B183" s="2260" t="s">
        <v>3242</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1" t="s">
        <v>7087</v>
      </c>
      <c r="B184" s="3932"/>
      <c r="C184" s="3932"/>
      <c r="D184" s="3932"/>
      <c r="E184" s="3932"/>
      <c r="F184" s="3932"/>
      <c r="G184" s="3932"/>
      <c r="H184" s="3932"/>
      <c r="I184" s="3932"/>
      <c r="J184" s="3932"/>
      <c r="K184" s="3932"/>
      <c r="L184" s="3932"/>
      <c r="M184" s="3932"/>
      <c r="N184" s="3932"/>
      <c r="O184" s="3932"/>
      <c r="P184" s="3933"/>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4038</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6258</v>
      </c>
      <c r="C190" s="2157"/>
      <c r="D190" s="2157"/>
      <c r="E190" s="2157"/>
      <c r="F190" s="2157"/>
      <c r="G190" s="2139" t="s">
        <v>6859</v>
      </c>
      <c r="H190" s="3891" t="s">
        <v>574</v>
      </c>
      <c r="I190" s="3891"/>
      <c r="J190" s="3891"/>
      <c r="K190" s="4003" t="s">
        <v>6931</v>
      </c>
      <c r="L190" s="4003"/>
      <c r="M190" s="4003"/>
      <c r="N190" s="2310"/>
      <c r="O190" s="2346"/>
      <c r="P190" s="2347"/>
      <c r="Q190" s="2348"/>
      <c r="R190" s="2158"/>
      <c r="S190" s="2158"/>
      <c r="T190" s="2158"/>
      <c r="W190" s="2158"/>
      <c r="X190" s="2158"/>
      <c r="Y190" s="2158"/>
      <c r="Z190" s="2158"/>
      <c r="AA190" s="2158"/>
    </row>
    <row r="191" spans="1:27" ht="15.95" customHeight="1">
      <c r="A191" s="2285"/>
      <c r="B191" s="2285"/>
      <c r="D191" s="2186" t="s">
        <v>6259</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6260</v>
      </c>
      <c r="G192" s="2352"/>
      <c r="H192" s="4014"/>
      <c r="I192" s="4015"/>
      <c r="J192" s="4016"/>
      <c r="K192" s="4012"/>
      <c r="L192" s="4012"/>
      <c r="M192" s="4012"/>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3242</v>
      </c>
      <c r="C194" s="2121"/>
      <c r="D194" s="2121"/>
      <c r="E194" s="2121"/>
      <c r="F194" s="2121"/>
      <c r="G194" s="2121"/>
      <c r="H194" s="2121"/>
      <c r="I194" s="2121"/>
      <c r="J194" s="2121"/>
      <c r="K194" s="2121"/>
      <c r="M194" s="2123"/>
      <c r="O194" s="2133"/>
    </row>
    <row r="195" spans="1:24" ht="15.95" customHeight="1" thickTop="1" thickBot="1">
      <c r="A195" s="3931" t="s">
        <v>7087</v>
      </c>
      <c r="B195" s="3932"/>
      <c r="C195" s="3932"/>
      <c r="D195" s="3932"/>
      <c r="E195" s="3932"/>
      <c r="F195" s="3932"/>
      <c r="G195" s="3932"/>
      <c r="H195" s="3932"/>
      <c r="I195" s="3932"/>
      <c r="J195" s="3932"/>
      <c r="K195" s="3932"/>
      <c r="L195" s="3932"/>
      <c r="M195" s="3932"/>
      <c r="N195" s="3932"/>
      <c r="O195" s="3932"/>
      <c r="P195" s="3933"/>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3962</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6937</v>
      </c>
      <c r="M202" s="2123">
        <v>3</v>
      </c>
      <c r="N202" s="2254"/>
      <c r="O202" s="2240"/>
      <c r="P202" s="2241"/>
      <c r="Q202" s="2320" t="str">
        <f>IF(OR($O202=$M202,$O202=$M202-1,$O202=0,$O202=""),"","*CHECK!*")</f>
        <v/>
      </c>
      <c r="R202" s="2305"/>
    </row>
    <row r="203" spans="1:24" ht="15.95" customHeight="1">
      <c r="A203" s="2138" t="s">
        <v>698</v>
      </c>
      <c r="B203" s="2131" t="s">
        <v>6938</v>
      </c>
      <c r="G203" s="2226" t="s">
        <v>6231</v>
      </c>
      <c r="I203" s="2282"/>
      <c r="L203" s="2118"/>
      <c r="M203" s="2123">
        <v>3</v>
      </c>
      <c r="N203" s="2254"/>
      <c r="O203" s="2243"/>
      <c r="P203" s="2244"/>
      <c r="Q203" s="2320" t="str">
        <f>IF(OR($O203=$M203,$O203=$M203-1,$O203=0,$O203=""),"","*CHECK!*")</f>
        <v/>
      </c>
      <c r="R203" s="2305"/>
    </row>
    <row r="204" spans="1:24" ht="15.95" customHeight="1" thickBot="1">
      <c r="A204" s="2121"/>
      <c r="B204" s="2260" t="s">
        <v>3242</v>
      </c>
      <c r="C204" s="2121"/>
      <c r="D204" s="2121"/>
      <c r="E204" s="2121"/>
      <c r="F204" s="2121"/>
      <c r="G204" s="2121"/>
      <c r="H204" s="2121"/>
      <c r="I204" s="2121"/>
      <c r="J204" s="2121"/>
      <c r="K204" s="2121"/>
      <c r="M204" s="2123"/>
      <c r="O204" s="2133"/>
    </row>
    <row r="205" spans="1:24" ht="15.95" customHeight="1" thickTop="1" thickBot="1">
      <c r="A205" s="3931" t="s">
        <v>7087</v>
      </c>
      <c r="B205" s="3932"/>
      <c r="C205" s="3932"/>
      <c r="D205" s="3932"/>
      <c r="E205" s="3932"/>
      <c r="F205" s="3932"/>
      <c r="G205" s="3932"/>
      <c r="H205" s="3932"/>
      <c r="I205" s="3932"/>
      <c r="J205" s="3932"/>
      <c r="K205" s="3932"/>
      <c r="L205" s="3932"/>
      <c r="M205" s="3932"/>
      <c r="N205" s="3932"/>
      <c r="O205" s="3932"/>
      <c r="P205" s="3933"/>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3</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6614</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6615</v>
      </c>
      <c r="D213" s="2282"/>
      <c r="E213" s="2282"/>
      <c r="G213" s="2120"/>
      <c r="L213" s="2232"/>
      <c r="M213" s="2123">
        <v>2</v>
      </c>
      <c r="N213" s="2377"/>
      <c r="O213" s="2269" t="s">
        <v>7057</v>
      </c>
      <c r="P213" s="2270"/>
      <c r="Q213" s="2320"/>
      <c r="R213" s="2305"/>
      <c r="T213" s="2355"/>
      <c r="U213" s="2355"/>
    </row>
    <row r="214" spans="1:22" s="2121" customFormat="1" ht="15.95" customHeight="1">
      <c r="A214" s="2138"/>
      <c r="B214" s="2285" t="s">
        <v>2332</v>
      </c>
      <c r="C214" s="2226" t="s">
        <v>6616</v>
      </c>
      <c r="D214" s="2282"/>
      <c r="E214" s="2282"/>
      <c r="G214" s="2120"/>
      <c r="K214" s="2254"/>
      <c r="M214" s="2123">
        <v>1</v>
      </c>
      <c r="N214" s="2377"/>
      <c r="O214" s="2246" t="s">
        <v>7057</v>
      </c>
      <c r="P214" s="2247"/>
      <c r="R214" s="2120"/>
      <c r="T214" s="2355"/>
      <c r="U214" s="2355"/>
    </row>
    <row r="215" spans="1:22" ht="15.95" customHeight="1">
      <c r="A215" s="2138" t="s">
        <v>1843</v>
      </c>
      <c r="B215" s="2131" t="s">
        <v>3954</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6896</v>
      </c>
      <c r="C216" s="3987"/>
      <c r="D216" s="3987"/>
      <c r="E216" s="3987"/>
      <c r="F216" s="3987"/>
      <c r="G216" s="3987"/>
      <c r="H216" s="3987"/>
      <c r="I216" s="3987"/>
      <c r="J216" s="3987"/>
      <c r="K216" s="3987"/>
      <c r="L216" s="3987"/>
      <c r="M216" s="2123"/>
      <c r="N216" s="2254"/>
      <c r="O216" s="2358" t="s">
        <v>2652</v>
      </c>
      <c r="P216" s="2359"/>
      <c r="R216" s="2232"/>
      <c r="T216" s="2355"/>
      <c r="U216" s="2355"/>
    </row>
    <row r="217" spans="1:22" ht="15.95" customHeight="1">
      <c r="A217" s="2138" t="s">
        <v>698</v>
      </c>
      <c r="B217" s="2131" t="s">
        <v>3826</v>
      </c>
      <c r="D217" s="2121"/>
      <c r="H217" s="2121"/>
      <c r="K217" s="2121"/>
      <c r="L217" s="2232"/>
      <c r="M217" s="2123">
        <v>1</v>
      </c>
      <c r="N217" s="2254"/>
      <c r="O217" s="2306">
        <f>IF(O211=0,0,IF(O218="Yes",$M$217,0))</f>
        <v>0</v>
      </c>
      <c r="P217" s="2306">
        <f>IF(P211=0,0,IF(P218="Yes",$M$217,0))</f>
        <v>0</v>
      </c>
      <c r="Q217" s="2320" t="str">
        <f>IF(OR($O217=$M217,$O217=0,$O217=""),"","*CHECK!*")</f>
        <v/>
      </c>
      <c r="R217" s="2305"/>
      <c r="T217" s="2355"/>
      <c r="U217" s="2355"/>
    </row>
    <row r="218" spans="1:22" ht="45.75" customHeight="1">
      <c r="B218" s="3848" t="s">
        <v>6940</v>
      </c>
      <c r="C218" s="3848"/>
      <c r="D218" s="3848"/>
      <c r="E218" s="3848"/>
      <c r="F218" s="3848"/>
      <c r="G218" s="3848"/>
      <c r="H218" s="3848"/>
      <c r="I218" s="3848"/>
      <c r="J218" s="3848"/>
      <c r="K218" s="3848"/>
      <c r="L218" s="3848"/>
      <c r="M218" s="2123"/>
      <c r="N218" s="2254"/>
      <c r="O218" s="2325" t="s">
        <v>2652</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3371</v>
      </c>
      <c r="B223" s="2143" t="s">
        <v>6574</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7" t="s">
        <v>6897</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5" customHeight="1">
      <c r="B226" s="4028"/>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5" customHeight="1" thickBot="1">
      <c r="A227" s="2121"/>
      <c r="B227" s="2260" t="s">
        <v>3242</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1" t="s">
        <v>7088</v>
      </c>
      <c r="B228" s="3932"/>
      <c r="C228" s="3932"/>
      <c r="D228" s="3932"/>
      <c r="E228" s="3932"/>
      <c r="F228" s="3932"/>
      <c r="G228" s="3932"/>
      <c r="H228" s="3932"/>
      <c r="I228" s="3932"/>
      <c r="J228" s="3932"/>
      <c r="K228" s="3932"/>
      <c r="L228" s="3932"/>
      <c r="M228" s="3932"/>
      <c r="N228" s="3932"/>
      <c r="O228" s="3932"/>
      <c r="P228" s="3933"/>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3372</v>
      </c>
      <c r="B233" s="2143" t="s">
        <v>6579</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4042" t="s">
        <v>6899</v>
      </c>
      <c r="P234" s="4042" t="s">
        <v>3151</v>
      </c>
      <c r="Q234" s="2203"/>
      <c r="R234" s="2118"/>
      <c r="S234" s="2118"/>
      <c r="T234" s="2118"/>
      <c r="U234" s="2118"/>
      <c r="V234" s="2118"/>
      <c r="W234" s="2120"/>
      <c r="X234" s="2120"/>
    </row>
    <row r="235" spans="1:24" s="2121" customFormat="1" ht="15.95" customHeight="1">
      <c r="A235" s="2142"/>
      <c r="C235" s="2121" t="s">
        <v>6694</v>
      </c>
      <c r="I235" s="4031" t="s">
        <v>2852</v>
      </c>
      <c r="J235" s="4032"/>
      <c r="K235" s="4033"/>
      <c r="L235" s="4034"/>
      <c r="M235" s="2210"/>
      <c r="O235" s="3964"/>
      <c r="P235" s="3964"/>
      <c r="Q235" s="2203"/>
      <c r="R235" s="2118"/>
      <c r="S235" s="2118"/>
      <c r="T235" s="2118"/>
      <c r="U235" s="2118"/>
      <c r="V235" s="2118"/>
      <c r="W235" s="2120"/>
      <c r="X235" s="2120"/>
    </row>
    <row r="236" spans="1:24" s="2121" customFormat="1" ht="15.95" customHeight="1">
      <c r="A236" s="2142"/>
      <c r="C236" s="2121" t="s">
        <v>6693</v>
      </c>
      <c r="I236" s="4035" t="s">
        <v>7089</v>
      </c>
      <c r="J236" s="4036"/>
      <c r="M236" s="2210"/>
      <c r="O236" s="3964"/>
      <c r="P236" s="3964"/>
      <c r="Q236" s="2203"/>
      <c r="R236" s="2118"/>
      <c r="S236" s="2118"/>
      <c r="T236" s="2118"/>
      <c r="U236" s="2118"/>
      <c r="V236" s="2118"/>
      <c r="W236" s="2120"/>
      <c r="X236" s="2120"/>
    </row>
    <row r="237" spans="1:24" s="2121" customFormat="1" ht="15.95" customHeight="1">
      <c r="A237" s="2142"/>
      <c r="C237" s="2121" t="s">
        <v>6695</v>
      </c>
      <c r="I237" s="4040" t="s">
        <v>7090</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6861</v>
      </c>
      <c r="D239" s="3987"/>
      <c r="E239" s="3987"/>
      <c r="F239" s="3987"/>
      <c r="G239" s="3987"/>
      <c r="H239" s="3987"/>
      <c r="I239" s="3987"/>
      <c r="J239" s="3987"/>
      <c r="K239" s="3987"/>
      <c r="L239" s="3987"/>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6580</v>
      </c>
      <c r="D241" s="2184"/>
      <c r="E241" s="2184"/>
      <c r="G241" s="2184" t="s">
        <v>6588</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6589</v>
      </c>
      <c r="D242" s="3848"/>
      <c r="E242" s="3848"/>
      <c r="F242" s="3848"/>
      <c r="G242" s="3848"/>
      <c r="H242" s="3848"/>
      <c r="I242" s="3848"/>
      <c r="J242" s="3848"/>
      <c r="K242" s="3848"/>
      <c r="L242" s="3848"/>
      <c r="M242" s="3848"/>
      <c r="N242" s="2377"/>
      <c r="O242" s="2256" t="s">
        <v>2649</v>
      </c>
      <c r="P242" s="2257"/>
      <c r="Q242" s="2366"/>
      <c r="R242" s="2367"/>
      <c r="S242" s="2367"/>
      <c r="T242" s="2367"/>
      <c r="U242" s="2367"/>
    </row>
    <row r="243" spans="1:22" s="2157" customFormat="1" ht="29.25" customHeight="1" thickBot="1">
      <c r="A243" s="2365"/>
      <c r="B243" s="2285"/>
      <c r="C243" s="3848" t="s">
        <v>6862</v>
      </c>
      <c r="D243" s="3848"/>
      <c r="E243" s="3848"/>
      <c r="F243" s="3848"/>
      <c r="G243" s="3848"/>
      <c r="H243" s="3848"/>
      <c r="I243" s="3848"/>
      <c r="J243" s="3848"/>
      <c r="K243" s="3848"/>
      <c r="L243" s="3848"/>
      <c r="M243" s="3848"/>
      <c r="N243" s="2377"/>
      <c r="O243" s="2325" t="s">
        <v>2649</v>
      </c>
      <c r="P243" s="2326"/>
      <c r="Q243" s="2366"/>
      <c r="R243" s="2367"/>
      <c r="S243" s="2367"/>
      <c r="T243" s="2367"/>
      <c r="U243" s="2367"/>
    </row>
    <row r="244" spans="1:22" ht="15.95" customHeight="1" thickBot="1">
      <c r="A244" s="2124" t="s">
        <v>1843</v>
      </c>
      <c r="B244" s="2341" t="s">
        <v>6581</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t="s">
        <v>7057</v>
      </c>
      <c r="P245" s="2257"/>
      <c r="Q245" s="2364"/>
      <c r="R245" s="2305"/>
      <c r="S245" s="2118"/>
      <c r="T245" s="2118"/>
      <c r="U245" s="2118"/>
      <c r="V245" s="2118"/>
    </row>
    <row r="246" spans="1:22" s="2157" customFormat="1" ht="30" customHeight="1">
      <c r="A246" s="2365"/>
      <c r="B246" s="2285"/>
      <c r="C246" s="3848" t="s">
        <v>6936</v>
      </c>
      <c r="D246" s="3848"/>
      <c r="E246" s="3848"/>
      <c r="F246" s="3848"/>
      <c r="G246" s="3848"/>
      <c r="H246" s="3848"/>
      <c r="I246" s="3848"/>
      <c r="J246" s="3848"/>
      <c r="K246" s="3848"/>
      <c r="L246" s="3848"/>
      <c r="M246" s="3848"/>
      <c r="N246" s="2377"/>
      <c r="O246" s="2325" t="s">
        <v>7057</v>
      </c>
      <c r="P246" s="2326"/>
      <c r="Q246" s="2366"/>
      <c r="R246" s="2367"/>
      <c r="S246" s="2367"/>
      <c r="T246" s="2367"/>
      <c r="U246" s="2367"/>
    </row>
    <row r="247" spans="1:22" ht="15.95" customHeight="1" thickBot="1">
      <c r="A247" s="2121"/>
      <c r="B247" s="2260" t="s">
        <v>3242</v>
      </c>
      <c r="C247" s="2121"/>
      <c r="D247" s="2121"/>
      <c r="E247" s="2121"/>
      <c r="F247" s="2121"/>
      <c r="G247" s="2121"/>
      <c r="H247" s="2121"/>
      <c r="I247" s="2121"/>
      <c r="J247" s="2121"/>
      <c r="K247" s="2121"/>
      <c r="M247" s="2123"/>
      <c r="O247" s="2133"/>
      <c r="R247" s="2118"/>
      <c r="S247" s="2118"/>
      <c r="T247" s="2118"/>
      <c r="U247" s="2118"/>
      <c r="V247" s="2118"/>
    </row>
    <row r="248" spans="1:22" ht="50.45" customHeight="1" thickTop="1" thickBot="1">
      <c r="A248" s="3931" t="s">
        <v>7091</v>
      </c>
      <c r="B248" s="3932"/>
      <c r="C248" s="3932"/>
      <c r="D248" s="3932"/>
      <c r="E248" s="3932"/>
      <c r="F248" s="3932"/>
      <c r="G248" s="3932"/>
      <c r="H248" s="3932"/>
      <c r="I248" s="3932"/>
      <c r="J248" s="3932"/>
      <c r="K248" s="3932"/>
      <c r="L248" s="3932"/>
      <c r="M248" s="3932"/>
      <c r="N248" s="3932"/>
      <c r="O248" s="3932"/>
      <c r="P248" s="3933"/>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3370</v>
      </c>
      <c r="B253" s="2143" t="s">
        <v>6585</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6586</v>
      </c>
      <c r="D254" s="2184"/>
      <c r="E254" s="2184" t="s">
        <v>6597</v>
      </c>
      <c r="F254" s="2184"/>
      <c r="G254" s="2184"/>
      <c r="H254" s="2184"/>
      <c r="I254" s="4037"/>
      <c r="J254" s="4038"/>
      <c r="K254" s="4038"/>
      <c r="L254" s="4039"/>
      <c r="M254" s="2139">
        <v>2</v>
      </c>
      <c r="N254" s="2254"/>
      <c r="O254" s="2314"/>
      <c r="P254" s="2315"/>
      <c r="Q254" s="2364" t="str">
        <f>IF(OR(O254=0,O254="",O254=$M254),"","Check!")</f>
        <v/>
      </c>
      <c r="R254" s="2305"/>
      <c r="S254" s="2118"/>
      <c r="T254" s="2118"/>
      <c r="U254" s="2118"/>
      <c r="V254" s="2118"/>
    </row>
    <row r="255" spans="1:22" ht="15.95" customHeight="1">
      <c r="A255" s="2124" t="s">
        <v>1843</v>
      </c>
      <c r="B255" s="2341" t="s">
        <v>6587</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3242</v>
      </c>
      <c r="C256" s="2121"/>
      <c r="D256" s="2121"/>
      <c r="E256" s="2121"/>
      <c r="F256" s="2121"/>
      <c r="G256" s="2121"/>
      <c r="H256" s="2121"/>
      <c r="I256" s="2121"/>
      <c r="J256" s="2121"/>
      <c r="K256" s="2121"/>
      <c r="M256" s="2123"/>
      <c r="O256" s="2133"/>
      <c r="R256" s="2118"/>
      <c r="S256" s="2118"/>
      <c r="T256" s="2118"/>
      <c r="U256" s="2118"/>
      <c r="V256" s="2118"/>
    </row>
    <row r="257" spans="1:19" ht="40.5" customHeight="1" thickTop="1" thickBot="1">
      <c r="A257" s="3931" t="s">
        <v>7092</v>
      </c>
      <c r="B257" s="3932"/>
      <c r="C257" s="3932"/>
      <c r="D257" s="3932"/>
      <c r="E257" s="3932"/>
      <c r="F257" s="3932"/>
      <c r="G257" s="3932"/>
      <c r="H257" s="3932"/>
      <c r="I257" s="3932"/>
      <c r="J257" s="3932"/>
      <c r="K257" s="3932"/>
      <c r="L257" s="3932"/>
      <c r="M257" s="3932"/>
      <c r="N257" s="3932"/>
      <c r="O257" s="3932"/>
      <c r="P257" s="3933"/>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3373</v>
      </c>
      <c r="B262" s="2143" t="s">
        <v>3344</v>
      </c>
      <c r="C262" s="2227"/>
      <c r="E262" s="2121"/>
      <c r="K262" s="2121"/>
      <c r="L262" s="2121"/>
      <c r="M262" s="2124">
        <v>2</v>
      </c>
      <c r="N262" s="2123"/>
      <c r="O262" s="2123"/>
      <c r="P262" s="2421">
        <f>IF($O$36="9%",P263+P265,0)</f>
        <v>0</v>
      </c>
      <c r="Q262" s="2203" t="s">
        <v>416</v>
      </c>
    </row>
    <row r="263" spans="1:19" ht="15.95" customHeight="1">
      <c r="A263" s="2124" t="s">
        <v>1841</v>
      </c>
      <c r="B263" s="2131" t="s">
        <v>3345</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t="s">
        <v>2652</v>
      </c>
      <c r="P264" s="2369"/>
      <c r="R264" s="2232"/>
    </row>
    <row r="265" spans="1:19" ht="15.95" customHeight="1">
      <c r="A265" s="2124" t="s">
        <v>1843</v>
      </c>
      <c r="B265" s="2131" t="s">
        <v>3346</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t="s">
        <v>2652</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5" customHeight="1" thickBot="1">
      <c r="A271" s="2338" t="s">
        <v>3374</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3154</v>
      </c>
      <c r="D272" s="2227"/>
      <c r="E272" s="2227"/>
      <c r="G272" s="2121"/>
      <c r="I272" s="4059" t="s">
        <v>6061</v>
      </c>
      <c r="J272" s="4033"/>
      <c r="K272" s="4033"/>
      <c r="L272" s="4034"/>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3242</v>
      </c>
      <c r="M274" s="2123"/>
      <c r="N274" s="2123"/>
      <c r="O274" s="2133"/>
      <c r="P274" s="2124"/>
    </row>
    <row r="275" spans="1:20" ht="15.95" customHeight="1" thickTop="1" thickBot="1">
      <c r="A275" s="3931" t="s">
        <v>7093</v>
      </c>
      <c r="B275" s="3932"/>
      <c r="C275" s="3932"/>
      <c r="D275" s="3932"/>
      <c r="E275" s="3932"/>
      <c r="F275" s="3932"/>
      <c r="G275" s="3932"/>
      <c r="H275" s="3932"/>
      <c r="I275" s="3932"/>
      <c r="J275" s="3932"/>
      <c r="K275" s="3932"/>
      <c r="L275" s="3932"/>
      <c r="M275" s="3932"/>
      <c r="N275" s="3932"/>
      <c r="O275" s="3932"/>
      <c r="P275" s="3933"/>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5" customHeight="1" thickBot="1">
      <c r="A280" s="2142" t="s">
        <v>3377</v>
      </c>
      <c r="B280" s="2143" t="s">
        <v>3348</v>
      </c>
      <c r="D280" s="2227"/>
      <c r="E280" s="2227"/>
      <c r="F280" s="2121"/>
      <c r="G280" s="2121"/>
      <c r="H280" s="2121"/>
      <c r="J280" s="2424"/>
      <c r="K280" s="2210"/>
      <c r="M280" s="2133">
        <v>4</v>
      </c>
      <c r="N280" s="2123"/>
      <c r="O280" s="2371">
        <f>O281+O302</f>
        <v>1</v>
      </c>
      <c r="P280" s="2371">
        <f>P281+P302</f>
        <v>0</v>
      </c>
      <c r="Q280" s="2203" t="s">
        <v>416</v>
      </c>
    </row>
    <row r="281" spans="1:20" ht="15.95" customHeight="1" thickBot="1">
      <c r="A281" s="2313" t="s">
        <v>1841</v>
      </c>
      <c r="B281" s="2131" t="s">
        <v>3349</v>
      </c>
      <c r="L281" s="2232" t="str">
        <f>IF(O281&lt;=M281,"","* * Check Score! * *")</f>
        <v/>
      </c>
      <c r="M281" s="2123">
        <v>3</v>
      </c>
      <c r="N281" s="2254"/>
      <c r="O281" s="2372">
        <v>1</v>
      </c>
      <c r="P281" s="2373"/>
      <c r="Q281" s="2320" t="str">
        <f>IF(O281&lt;=M281,"","*CHECK!*")</f>
        <v/>
      </c>
      <c r="R281" s="2136"/>
      <c r="S281" s="2136"/>
      <c r="T281" s="2119"/>
    </row>
    <row r="282" spans="1:20" ht="30.95" customHeight="1">
      <c r="A282" s="2313"/>
      <c r="B282" s="4025" t="s">
        <v>6864</v>
      </c>
      <c r="C282" s="4025"/>
      <c r="D282" s="4025"/>
      <c r="E282" s="4025"/>
      <c r="F282" s="4025"/>
      <c r="G282" s="4025"/>
      <c r="H282" s="4025"/>
      <c r="I282" s="4025"/>
      <c r="J282" s="4025"/>
      <c r="K282" s="4025"/>
      <c r="L282" s="4025"/>
      <c r="N282" s="2120"/>
      <c r="O282" s="2374" t="s">
        <v>2649</v>
      </c>
      <c r="P282" s="2375"/>
      <c r="R282" s="2136"/>
      <c r="S282" s="2136"/>
      <c r="T282" s="2119"/>
    </row>
    <row r="283" spans="1:20" ht="15.95" customHeight="1">
      <c r="A283" s="2313"/>
      <c r="B283" s="2423"/>
      <c r="C283" s="2157"/>
      <c r="D283" s="2157"/>
      <c r="E283" s="2157"/>
      <c r="F283" s="2157"/>
      <c r="G283" s="2157"/>
      <c r="H283" s="2157"/>
      <c r="I283" s="2157"/>
      <c r="J283" s="4026" t="s">
        <v>1848</v>
      </c>
      <c r="K283" s="4026"/>
      <c r="M283" s="4026" t="s">
        <v>1848</v>
      </c>
      <c r="N283" s="4026"/>
      <c r="O283" s="4026"/>
      <c r="P283" s="4026"/>
      <c r="R283" s="2376"/>
      <c r="S283" s="2376"/>
      <c r="T283" s="2119"/>
    </row>
    <row r="284" spans="1:20" ht="15.95" customHeight="1">
      <c r="A284" s="2254"/>
      <c r="B284" s="2377" t="s">
        <v>1844</v>
      </c>
      <c r="C284" s="2121" t="s">
        <v>1388</v>
      </c>
      <c r="I284" s="2254"/>
      <c r="J284" s="4043"/>
      <c r="K284" s="4044"/>
      <c r="L284" s="2254"/>
      <c r="M284" s="4045"/>
      <c r="N284" s="4046"/>
      <c r="O284" s="4046"/>
      <c r="P284" s="4047"/>
      <c r="R284" s="2232"/>
    </row>
    <row r="285" spans="1:20" ht="15.95" customHeight="1">
      <c r="A285" s="2230"/>
      <c r="B285" s="2214" t="s">
        <v>1846</v>
      </c>
      <c r="C285" s="2121" t="s">
        <v>3156</v>
      </c>
      <c r="I285" s="2310"/>
      <c r="J285" s="4020"/>
      <c r="K285" s="4021"/>
      <c r="L285" s="2310"/>
      <c r="M285" s="4022"/>
      <c r="N285" s="4023"/>
      <c r="O285" s="4023"/>
      <c r="P285" s="4024"/>
      <c r="R285" s="2232"/>
    </row>
    <row r="286" spans="1:20" ht="15.95" customHeight="1">
      <c r="B286" s="2377" t="s">
        <v>2332</v>
      </c>
      <c r="C286" s="2121" t="s">
        <v>3955</v>
      </c>
      <c r="I286" s="2254"/>
      <c r="J286" s="4020"/>
      <c r="K286" s="4021"/>
      <c r="L286" s="2254"/>
      <c r="M286" s="4022"/>
      <c r="N286" s="4023"/>
      <c r="O286" s="4023"/>
      <c r="P286" s="4024"/>
      <c r="R286" s="2232"/>
    </row>
    <row r="287" spans="1:20" ht="15.95" customHeight="1">
      <c r="A287" s="2230"/>
      <c r="B287" s="2377" t="s">
        <v>1150</v>
      </c>
      <c r="C287" s="2121" t="s">
        <v>3071</v>
      </c>
      <c r="I287" s="2254"/>
      <c r="J287" s="4020"/>
      <c r="K287" s="4021"/>
      <c r="L287" s="2254"/>
      <c r="M287" s="4022"/>
      <c r="N287" s="4023"/>
      <c r="O287" s="4023"/>
      <c r="P287" s="4024"/>
      <c r="R287" s="2232"/>
    </row>
    <row r="288" spans="1:20" ht="15.95" customHeight="1">
      <c r="A288" s="2254"/>
      <c r="B288" s="2214" t="s">
        <v>1151</v>
      </c>
      <c r="C288" s="2121" t="s">
        <v>2473</v>
      </c>
      <c r="I288" s="2310"/>
      <c r="J288" s="4020">
        <v>1767660</v>
      </c>
      <c r="K288" s="4021"/>
      <c r="L288" s="2310"/>
      <c r="M288" s="4022"/>
      <c r="N288" s="4023"/>
      <c r="O288" s="4023"/>
      <c r="P288" s="4024"/>
      <c r="R288" s="2232"/>
    </row>
    <row r="289" spans="1:26" ht="15.95" customHeight="1">
      <c r="B289" s="2377" t="s">
        <v>1742</v>
      </c>
      <c r="C289" s="2121" t="s">
        <v>1387</v>
      </c>
      <c r="I289" s="2254"/>
      <c r="J289" s="4020"/>
      <c r="K289" s="4021"/>
      <c r="L289" s="2254"/>
      <c r="M289" s="4022"/>
      <c r="N289" s="4023"/>
      <c r="O289" s="4023"/>
      <c r="P289" s="4024"/>
      <c r="R289" s="2232"/>
    </row>
    <row r="290" spans="1:26" ht="15.95" customHeight="1">
      <c r="B290" s="2377" t="s">
        <v>473</v>
      </c>
      <c r="C290" s="2121" t="s">
        <v>6234</v>
      </c>
      <c r="I290" s="2254"/>
      <c r="J290" s="4020"/>
      <c r="K290" s="4021"/>
      <c r="L290" s="2254"/>
      <c r="M290" s="2378"/>
      <c r="N290" s="2379"/>
      <c r="O290" s="2379"/>
      <c r="P290" s="2380"/>
      <c r="R290" s="2232"/>
    </row>
    <row r="291" spans="1:26" ht="15.95" customHeight="1">
      <c r="A291" s="2230"/>
      <c r="B291" s="2377" t="s">
        <v>474</v>
      </c>
      <c r="C291" s="2121" t="s">
        <v>3155</v>
      </c>
      <c r="I291" s="2254"/>
      <c r="J291" s="4020"/>
      <c r="K291" s="4021"/>
      <c r="L291" s="2254"/>
      <c r="M291" s="4022"/>
      <c r="N291" s="4023"/>
      <c r="O291" s="4023"/>
      <c r="P291" s="4024"/>
      <c r="R291" s="2232"/>
    </row>
    <row r="292" spans="1:26" ht="15.95" customHeight="1">
      <c r="B292" s="2377" t="s">
        <v>3890</v>
      </c>
      <c r="C292" s="2121" t="s">
        <v>6865</v>
      </c>
      <c r="I292" s="2254"/>
      <c r="J292" s="4020"/>
      <c r="K292" s="4021"/>
      <c r="L292" s="2254"/>
      <c r="M292" s="4022"/>
      <c r="N292" s="4023"/>
      <c r="O292" s="4023"/>
      <c r="P292" s="4024"/>
      <c r="R292" s="2232"/>
    </row>
    <row r="293" spans="1:26" ht="15.95" customHeight="1">
      <c r="B293" s="2377" t="s">
        <v>6866</v>
      </c>
      <c r="C293" s="2121" t="s">
        <v>6903</v>
      </c>
      <c r="I293" s="2254"/>
      <c r="J293" s="4020"/>
      <c r="K293" s="4021"/>
      <c r="L293" s="2254"/>
      <c r="M293" s="4022"/>
      <c r="N293" s="4023"/>
      <c r="O293" s="4023"/>
      <c r="P293" s="4024"/>
      <c r="R293" s="2232"/>
    </row>
    <row r="294" spans="1:26" ht="15.95" customHeight="1" thickBot="1">
      <c r="B294" s="2377" t="s">
        <v>6867</v>
      </c>
      <c r="C294" s="2121" t="s">
        <v>6904</v>
      </c>
      <c r="I294" s="2254"/>
      <c r="J294" s="4020"/>
      <c r="K294" s="4021"/>
      <c r="L294" s="2254"/>
      <c r="M294" s="4068"/>
      <c r="N294" s="4069"/>
      <c r="O294" s="4069"/>
      <c r="P294" s="4070"/>
      <c r="R294" s="2232"/>
    </row>
    <row r="295" spans="1:26" ht="15.95" customHeight="1" thickBot="1">
      <c r="B295" s="2121"/>
      <c r="I295" s="2138" t="s">
        <v>2413</v>
      </c>
      <c r="J295" s="4071">
        <f>SUM(J284:K294)</f>
        <v>1767660</v>
      </c>
      <c r="K295" s="4072"/>
      <c r="M295" s="4071">
        <f>SUM($M284:$M294)</f>
        <v>0</v>
      </c>
      <c r="N295" s="4073"/>
      <c r="O295" s="4073"/>
      <c r="P295" s="4072"/>
      <c r="R295" s="2232"/>
    </row>
    <row r="296" spans="1:26" ht="15.95" customHeight="1">
      <c r="M296" s="2136"/>
      <c r="N296" s="2136"/>
      <c r="O296" s="2120"/>
      <c r="P296" s="2136"/>
      <c r="U296" s="3891" t="s">
        <v>6909</v>
      </c>
      <c r="V296" s="3891"/>
      <c r="W296" s="3891"/>
      <c r="X296" s="3891"/>
      <c r="Y296" s="3891"/>
      <c r="Z296" s="3891"/>
    </row>
    <row r="297" spans="1:26" ht="15.95" customHeight="1">
      <c r="A297" s="2121"/>
      <c r="B297" s="2332"/>
      <c r="C297" s="2227" t="s">
        <v>2412</v>
      </c>
      <c r="D297" s="2255"/>
      <c r="E297" s="2255"/>
      <c r="I297" s="2254" t="s">
        <v>6237</v>
      </c>
      <c r="J297" s="4060">
        <f>'Part V-Revenues &amp; Expenses'!$P$67</f>
        <v>135</v>
      </c>
      <c r="K297" s="4061"/>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6238</v>
      </c>
      <c r="J298" s="4074">
        <f>IF(J297=0,0,J295/J297)</f>
        <v>13093.777777777777</v>
      </c>
      <c r="K298" s="4075"/>
      <c r="M298" s="4076">
        <f>IF(J297=0,0,M295/J297)</f>
        <v>0</v>
      </c>
      <c r="N298" s="4077"/>
      <c r="O298" s="4077"/>
      <c r="P298" s="4078"/>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4060">
        <f>IF(J295&gt;=$Y$298,$Y$300,IF(J295&gt;=$W$298,$W$300,IF(J295&gt;=$U$298,$U$300,0)))</f>
        <v>2</v>
      </c>
      <c r="K299" s="4061"/>
      <c r="M299" s="4060">
        <f t="shared" ref="M299" si="0">IF(M295&gt;=$Y$298,$Y$300,IF(M295&gt;=$W$298,$W$300,IF(M295&gt;=$U$298,$U$300,0)))</f>
        <v>0</v>
      </c>
      <c r="N299" s="4062"/>
      <c r="O299" s="4062">
        <f t="shared" ref="O299" si="1">IF(O295&gt;=$Y$298,$Y$300,IF(O295&gt;=$W$298,$W$300,IF(O295&gt;=$U$298,$U$300,0)))</f>
        <v>0</v>
      </c>
      <c r="P299" s="4061"/>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6239</v>
      </c>
      <c r="J300" s="4065">
        <f>IF(J298&gt;=$Y$299,$Y$300,IF(J298&gt;=$W$299,$W$300,IF(J298&gt;=$U$299,$U$300,0)))</f>
        <v>1</v>
      </c>
      <c r="K300" s="4066"/>
      <c r="L300" s="2136"/>
      <c r="M300" s="4065">
        <f>IF(M298&gt;=$Y$299,$Y$300,IF(M298&gt;=$W$299,$W$300,IF(M298&gt;=$U$299,$U$300,0)))</f>
        <v>0</v>
      </c>
      <c r="N300" s="4067"/>
      <c r="O300" s="4067"/>
      <c r="P300" s="4066"/>
      <c r="S300" s="2431" t="s">
        <v>6146</v>
      </c>
      <c r="U300" s="3885">
        <v>1</v>
      </c>
      <c r="V300" s="3886"/>
      <c r="W300" s="3885">
        <v>2</v>
      </c>
      <c r="X300" s="3886"/>
      <c r="Y300" s="3885">
        <v>3</v>
      </c>
      <c r="Z300" s="3886"/>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8" t="s">
        <v>6869</v>
      </c>
      <c r="D303" s="3848"/>
      <c r="E303" s="3848"/>
      <c r="F303" s="3848"/>
      <c r="G303" s="3848"/>
      <c r="H303" s="3848"/>
      <c r="I303" s="3848"/>
      <c r="J303" s="3848"/>
      <c r="K303" s="3848"/>
      <c r="L303" s="3848"/>
      <c r="M303" s="3848"/>
      <c r="N303" s="2413"/>
      <c r="O303" s="2382" t="s">
        <v>7057</v>
      </c>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t="s">
        <v>7057</v>
      </c>
      <c r="P304" s="2270"/>
      <c r="V304" s="2355"/>
    </row>
    <row r="305" spans="1:19" ht="15.95" customHeight="1">
      <c r="B305" s="2313"/>
      <c r="C305" s="2120" t="s">
        <v>6871</v>
      </c>
      <c r="N305" s="2144"/>
      <c r="O305" s="2246" t="s">
        <v>7057</v>
      </c>
      <c r="P305" s="2247"/>
    </row>
    <row r="306" spans="1:19" ht="15.95" customHeight="1" thickBot="1">
      <c r="B306" s="2260" t="s">
        <v>3242</v>
      </c>
    </row>
    <row r="307" spans="1:19" ht="31.5" customHeight="1" thickTop="1" thickBot="1">
      <c r="A307" s="3931" t="s">
        <v>7115</v>
      </c>
      <c r="B307" s="3932"/>
      <c r="C307" s="3932"/>
      <c r="D307" s="3932"/>
      <c r="E307" s="3932"/>
      <c r="F307" s="3932"/>
      <c r="G307" s="3932"/>
      <c r="H307" s="3932"/>
      <c r="I307" s="3932"/>
      <c r="J307" s="3932"/>
      <c r="K307" s="3932"/>
      <c r="L307" s="3932"/>
      <c r="M307" s="3932"/>
      <c r="N307" s="3932"/>
      <c r="O307" s="3932"/>
      <c r="P307" s="3933"/>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3378</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4059" t="s">
        <v>7094</v>
      </c>
      <c r="H313" s="4033"/>
      <c r="I313" s="4033"/>
      <c r="J313" s="4033"/>
      <c r="K313" s="4033"/>
      <c r="L313" s="4034"/>
      <c r="M313" s="2286"/>
      <c r="N313" s="2286"/>
      <c r="O313" s="2286"/>
      <c r="P313" s="2286"/>
      <c r="Q313" s="2121"/>
    </row>
    <row r="314" spans="1:19" s="2157" customFormat="1" ht="15.95" customHeight="1">
      <c r="A314" s="2211" t="s">
        <v>1841</v>
      </c>
      <c r="B314" s="2131" t="s">
        <v>3956</v>
      </c>
      <c r="M314" s="2286">
        <v>2</v>
      </c>
      <c r="N314" s="2310"/>
      <c r="O314" s="2308"/>
      <c r="P314" s="2384"/>
      <c r="Q314" s="2320" t="str">
        <f>IF(OR($O314=$M314,$O314=0,$O314=""),"","*CHECK!*")</f>
        <v/>
      </c>
      <c r="R314" s="2305"/>
    </row>
    <row r="315" spans="1:19" ht="15.95" customHeight="1">
      <c r="A315" s="2345"/>
      <c r="B315" s="4028" t="s">
        <v>3416</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5" customHeight="1">
      <c r="A316" s="2385" t="s">
        <v>1843</v>
      </c>
      <c r="B316" s="2289" t="s">
        <v>3957</v>
      </c>
      <c r="M316" s="2286">
        <v>2</v>
      </c>
      <c r="N316" s="2310"/>
      <c r="O316" s="2308">
        <v>2</v>
      </c>
      <c r="P316" s="2384"/>
      <c r="Q316" s="2320" t="str">
        <f>IF(OR($O316=$M316,$O316=0,$O316=""),"","*CHECK!*")</f>
        <v/>
      </c>
      <c r="R316" s="2305"/>
    </row>
    <row r="317" spans="1:19" ht="15.95" customHeight="1" thickBot="1">
      <c r="A317" s="2121"/>
      <c r="B317" s="2260" t="s">
        <v>3242</v>
      </c>
      <c r="C317" s="2121"/>
      <c r="D317" s="2121"/>
      <c r="E317" s="2121"/>
      <c r="F317" s="2121"/>
      <c r="G317" s="2121"/>
      <c r="H317" s="2121"/>
      <c r="I317" s="2121"/>
      <c r="J317" s="2121"/>
      <c r="K317" s="2121"/>
      <c r="M317" s="2123"/>
      <c r="O317" s="2133"/>
    </row>
    <row r="318" spans="1:19" ht="15.95" customHeight="1" thickTop="1" thickBot="1">
      <c r="A318" s="3931" t="s">
        <v>7095</v>
      </c>
      <c r="B318" s="3932"/>
      <c r="C318" s="3932"/>
      <c r="D318" s="3932"/>
      <c r="E318" s="3932"/>
      <c r="F318" s="3932"/>
      <c r="G318" s="3932"/>
      <c r="H318" s="3932"/>
      <c r="I318" s="3932"/>
      <c r="J318" s="3932"/>
      <c r="K318" s="3932"/>
      <c r="L318" s="3932"/>
      <c r="M318" s="3932"/>
      <c r="N318" s="3932"/>
      <c r="O318" s="3932"/>
      <c r="P318" s="3933"/>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3379</v>
      </c>
      <c r="B323" s="2143" t="s">
        <v>4037</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6941</v>
      </c>
      <c r="D326" s="2143"/>
      <c r="E326" s="2143"/>
      <c r="L326" s="2232"/>
      <c r="M326" s="2124"/>
      <c r="N326" s="2123"/>
      <c r="O326" s="2387"/>
      <c r="P326" s="2354"/>
      <c r="Q326" s="2203"/>
    </row>
    <row r="327" spans="1:18" s="2121" customFormat="1" ht="15.95" customHeight="1">
      <c r="A327" s="2124" t="s">
        <v>1843</v>
      </c>
      <c r="B327" s="2131" t="s">
        <v>6942</v>
      </c>
      <c r="D327" s="2143"/>
      <c r="E327" s="2143"/>
      <c r="L327" s="2232"/>
      <c r="M327" s="2124"/>
      <c r="N327" s="2123"/>
      <c r="O327" s="2388">
        <v>5</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3380</v>
      </c>
      <c r="B332" s="2143" t="s">
        <v>6606</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6608</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6609</v>
      </c>
      <c r="C334" s="2255"/>
      <c r="D334" s="2255"/>
      <c r="E334" s="2255"/>
      <c r="F334" s="2255"/>
      <c r="G334" s="2121"/>
      <c r="H334" s="2255"/>
      <c r="I334" s="2255"/>
      <c r="J334" s="2255"/>
      <c r="K334" s="2255"/>
      <c r="L334" s="2255"/>
      <c r="M334" s="2123">
        <v>1</v>
      </c>
      <c r="N334" s="2390"/>
      <c r="O334" s="2240">
        <v>1</v>
      </c>
      <c r="P334" s="2241"/>
      <c r="Q334" s="2320" t="str">
        <f>IF(OR($O334=$M334,$O334=0,$O334=""),"","*CHECK!*")</f>
        <v/>
      </c>
      <c r="R334" s="2305"/>
    </row>
    <row r="335" spans="1:18" ht="15.95" customHeight="1">
      <c r="A335" s="2124" t="s">
        <v>698</v>
      </c>
      <c r="B335" s="2131" t="s">
        <v>6240</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6610</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3242</v>
      </c>
      <c r="C339" s="2121"/>
      <c r="D339" s="2121"/>
      <c r="E339" s="2121"/>
      <c r="F339" s="2121"/>
      <c r="G339" s="2121"/>
      <c r="H339" s="2121"/>
      <c r="I339" s="2121"/>
      <c r="J339" s="2121"/>
      <c r="K339" s="2121"/>
      <c r="M339" s="2123"/>
      <c r="O339" s="2133"/>
    </row>
    <row r="340" spans="1:18" ht="59.45" customHeight="1" thickTop="1" thickBot="1">
      <c r="A340" s="3931" t="s">
        <v>7096</v>
      </c>
      <c r="B340" s="3932"/>
      <c r="C340" s="3932"/>
      <c r="D340" s="3932"/>
      <c r="E340" s="3932"/>
      <c r="F340" s="3932"/>
      <c r="G340" s="3932"/>
      <c r="H340" s="3932"/>
      <c r="I340" s="3932"/>
      <c r="J340" s="3932"/>
      <c r="K340" s="3932"/>
      <c r="L340" s="3932"/>
      <c r="M340" s="3932"/>
      <c r="N340" s="3932"/>
      <c r="O340" s="3932"/>
      <c r="P340" s="3933"/>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3381</v>
      </c>
      <c r="B345" s="2143" t="s">
        <v>6241</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3242</v>
      </c>
      <c r="C346" s="2121"/>
      <c r="D346" s="2121"/>
      <c r="E346" s="2121"/>
      <c r="F346" s="2121"/>
      <c r="G346" s="2121"/>
      <c r="H346" s="2121"/>
      <c r="I346" s="2121"/>
      <c r="J346" s="2121"/>
      <c r="K346" s="2121"/>
      <c r="M346" s="2123"/>
      <c r="O346" s="2133"/>
    </row>
    <row r="347" spans="1:18" ht="15.95" customHeight="1" thickTop="1" thickBot="1">
      <c r="A347" s="3931" t="s">
        <v>7097</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3382</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3804</v>
      </c>
      <c r="B358" s="2143" t="s">
        <v>6612</v>
      </c>
      <c r="D358" s="2143"/>
      <c r="L358" s="2448" t="str">
        <f>IF(AND($O358&gt;0,NOT($F$36="Preservation")),"Ineligible, not Preservation!","")</f>
        <v/>
      </c>
      <c r="M358" s="2124">
        <v>4</v>
      </c>
      <c r="N358" s="2123"/>
      <c r="O358" s="2363">
        <v>4</v>
      </c>
      <c r="P358" s="2321"/>
      <c r="Q358" s="2203" t="s">
        <v>416</v>
      </c>
      <c r="R358" s="2305"/>
    </row>
    <row r="359" spans="1:18" ht="15.95" customHeight="1" thickBot="1">
      <c r="A359" s="2121"/>
      <c r="B359" s="2260" t="s">
        <v>3242</v>
      </c>
      <c r="C359" s="2121"/>
      <c r="D359" s="2121"/>
      <c r="E359" s="2121"/>
      <c r="F359" s="2121"/>
      <c r="G359" s="2121"/>
      <c r="H359" s="2121"/>
      <c r="I359" s="2121"/>
      <c r="J359" s="2121"/>
      <c r="K359" s="2121"/>
      <c r="M359" s="2123"/>
      <c r="O359" s="2133"/>
    </row>
    <row r="360" spans="1:18" ht="20.45" customHeight="1" thickTop="1" thickBot="1">
      <c r="A360" s="3931" t="s">
        <v>7120</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6557</v>
      </c>
      <c r="B365" s="2143" t="s">
        <v>6613</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6134</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6135</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3242</v>
      </c>
      <c r="C368" s="2121"/>
      <c r="D368" s="2121"/>
      <c r="E368" s="2121"/>
      <c r="F368" s="2121"/>
      <c r="G368" s="2121"/>
      <c r="H368" s="2121"/>
      <c r="I368" s="2121"/>
      <c r="J368" s="2121"/>
      <c r="K368" s="2121"/>
      <c r="M368" s="2123"/>
      <c r="O368" s="2133"/>
    </row>
    <row r="369" spans="1:18" ht="31.5" customHeight="1" thickTop="1" thickBot="1">
      <c r="A369" s="3931" t="s">
        <v>7121</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6932</v>
      </c>
      <c r="E376" s="2121"/>
      <c r="F376" s="2121"/>
      <c r="G376" s="2121" t="s">
        <v>6224</v>
      </c>
      <c r="H376" s="2121"/>
      <c r="I376" s="2121"/>
      <c r="J376" s="2121" t="s">
        <v>575</v>
      </c>
      <c r="L376" s="2139" t="s">
        <v>6933</v>
      </c>
      <c r="M376" s="3891" t="s">
        <v>6943</v>
      </c>
      <c r="N376" s="3891"/>
      <c r="O376" s="3891"/>
      <c r="P376" s="3891"/>
      <c r="Q376" s="2320"/>
    </row>
    <row r="377" spans="1:18" ht="15.95"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5"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5"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5"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5"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5"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5"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5"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ht="14.25">
      <c r="A385" s="2120">
        <v>9</v>
      </c>
      <c r="B385" s="3845"/>
      <c r="C385" s="3845"/>
      <c r="D385" s="3845"/>
      <c r="E385" s="3845"/>
      <c r="F385" s="3845"/>
      <c r="G385" s="3845"/>
      <c r="H385" s="3845"/>
      <c r="I385" s="3845"/>
      <c r="J385" s="3845"/>
      <c r="K385" s="3845"/>
      <c r="L385" s="2452"/>
      <c r="M385" s="4088"/>
      <c r="N385" s="4089"/>
      <c r="O385" s="4089"/>
      <c r="P385" s="4090"/>
    </row>
    <row r="386" spans="1:19" ht="15.95"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3242</v>
      </c>
      <c r="C388" s="2121"/>
      <c r="D388" s="2121"/>
      <c r="E388" s="2121"/>
      <c r="F388" s="2121"/>
      <c r="G388" s="2121"/>
      <c r="H388" s="2121"/>
      <c r="I388" s="2121"/>
      <c r="J388" s="2121"/>
      <c r="K388" s="2121"/>
      <c r="M388" s="2123"/>
      <c r="O388" s="2133"/>
    </row>
    <row r="389" spans="1:19" ht="15.95" customHeight="1" thickTop="1" thickBot="1">
      <c r="A389" s="3931" t="s">
        <v>7098</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299.10000000000002" customHeight="1">
      <c r="A396" s="2345"/>
      <c r="B396" s="4028" t="s">
        <v>7123</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5" customHeight="1">
      <c r="A397" s="2385" t="s">
        <v>1843</v>
      </c>
      <c r="B397" s="2289" t="s">
        <v>6926</v>
      </c>
      <c r="Q397" s="2320" t="str">
        <f>IF(OR($O397=$M397,$O397=0,$O397=""),"","*CHECK!*")</f>
        <v/>
      </c>
      <c r="R397" s="2305"/>
    </row>
    <row r="398" spans="1:19" ht="366.95" customHeight="1">
      <c r="A398" s="2345"/>
      <c r="B398" s="4028" t="s">
        <v>7124</v>
      </c>
      <c r="C398" s="4029"/>
      <c r="D398" s="4029"/>
      <c r="E398" s="4029"/>
      <c r="F398" s="4029"/>
      <c r="G398" s="4029"/>
      <c r="H398" s="4029"/>
      <c r="I398" s="4029"/>
      <c r="J398" s="4029"/>
      <c r="K398" s="4029"/>
      <c r="L398" s="4029"/>
      <c r="M398" s="4029"/>
      <c r="N398" s="4029"/>
      <c r="O398" s="4029"/>
      <c r="P398" s="4030"/>
      <c r="Q398" s="2252"/>
      <c r="R398" s="2209"/>
      <c r="S398" s="2209"/>
    </row>
    <row r="399" spans="1:19" ht="15.95" customHeight="1" thickBot="1">
      <c r="A399" s="2121"/>
      <c r="B399" s="2260" t="s">
        <v>3242</v>
      </c>
      <c r="C399" s="2121"/>
      <c r="D399" s="2121"/>
      <c r="E399" s="2121"/>
      <c r="F399" s="2121"/>
      <c r="G399" s="2121"/>
      <c r="H399" s="2121"/>
      <c r="I399" s="2121"/>
      <c r="J399" s="2121"/>
      <c r="K399" s="2121"/>
      <c r="M399" s="2123"/>
      <c r="O399" s="2133"/>
    </row>
    <row r="400" spans="1:19" ht="15.95" customHeight="1" thickTop="1" thickBot="1">
      <c r="A400" s="3931"/>
      <c r="B400" s="3932"/>
      <c r="C400" s="3932"/>
      <c r="D400" s="3932"/>
      <c r="E400" s="3932"/>
      <c r="F400" s="3932"/>
      <c r="G400" s="3932"/>
      <c r="H400" s="3932"/>
      <c r="I400" s="3932"/>
      <c r="J400" s="3932"/>
      <c r="K400" s="3932"/>
      <c r="L400" s="3932"/>
      <c r="M400" s="3932"/>
      <c r="N400" s="3932"/>
      <c r="O400" s="3932"/>
      <c r="P400" s="3933"/>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5" customHeight="1" thickBot="1">
      <c r="Q403" s="4063" t="s">
        <v>6949</v>
      </c>
      <c r="R403" s="4063"/>
      <c r="S403" s="4063"/>
      <c r="T403" s="4063"/>
      <c r="U403" s="4063"/>
      <c r="V403" s="4063"/>
      <c r="W403" s="4063"/>
      <c r="X403" s="4063"/>
      <c r="Y403" s="4063"/>
      <c r="Z403" s="4063"/>
      <c r="AA403" s="4063"/>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41</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6873</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15" customHeight="1">
      <c r="A408" s="4028"/>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6564</v>
      </c>
      <c r="BC415" s="4084"/>
      <c r="BD415" s="4084"/>
      <c r="BE415" s="4084"/>
      <c r="BF415" s="4084"/>
      <c r="BG415" s="4084"/>
      <c r="BH415" s="4084"/>
      <c r="BI415" s="4084"/>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6565</v>
      </c>
      <c r="AZ416" s="4081"/>
      <c r="BA416" s="4081"/>
      <c r="BB416" s="4081"/>
      <c r="BC416" s="4081"/>
      <c r="BD416" s="4081"/>
      <c r="BE416" s="4082"/>
      <c r="BF416" s="4080" t="s">
        <v>6566</v>
      </c>
      <c r="BG416" s="4081"/>
      <c r="BH416" s="4081"/>
      <c r="BI416" s="4081"/>
      <c r="BJ416" s="4081"/>
      <c r="BK416" s="4081"/>
      <c r="BL416" s="4082"/>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6138</v>
      </c>
      <c r="AC418" s="2199"/>
      <c r="AD418" s="2397"/>
      <c r="AE418" s="2397"/>
      <c r="AF418" s="2397"/>
      <c r="AG418" s="3928" t="s">
        <v>6126</v>
      </c>
      <c r="AH418" s="3929"/>
      <c r="AI418" s="3916" t="s">
        <v>6507</v>
      </c>
      <c r="AJ418" s="3917"/>
      <c r="AK418" s="3917"/>
      <c r="AL418" s="3917"/>
      <c r="AM418" s="3918"/>
      <c r="AN418" s="3930" t="s">
        <v>6139</v>
      </c>
      <c r="AO418" s="3930"/>
      <c r="AP418" s="3930"/>
      <c r="AQ418" s="3930"/>
      <c r="AR418" s="2397"/>
      <c r="AS418" s="2466"/>
      <c r="AT418" s="2465" t="s">
        <v>6138</v>
      </c>
      <c r="AU418" s="2466"/>
      <c r="AV418" s="2466"/>
      <c r="AW418" s="2466"/>
      <c r="AX418" s="2397"/>
      <c r="AY418" s="3916" t="s">
        <v>6126</v>
      </c>
      <c r="AZ418" s="3918"/>
      <c r="BA418" s="3916" t="s">
        <v>6507</v>
      </c>
      <c r="BB418" s="3917"/>
      <c r="BC418" s="3917"/>
      <c r="BD418" s="3917"/>
      <c r="BE418" s="3918"/>
      <c r="BF418" s="4083" t="s">
        <v>6126</v>
      </c>
      <c r="BG418" s="4083"/>
      <c r="BH418" s="4083" t="s">
        <v>6507</v>
      </c>
      <c r="BI418" s="4083"/>
      <c r="BJ418" s="4083"/>
      <c r="BK418" s="4083"/>
      <c r="BL418" s="4083"/>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6945</v>
      </c>
      <c r="AI419" s="2467" t="s">
        <v>6945</v>
      </c>
      <c r="AJ419" s="2467" t="s">
        <v>6915</v>
      </c>
      <c r="AK419" s="2467" t="s">
        <v>6547</v>
      </c>
      <c r="AL419" s="2467" t="s">
        <v>6548</v>
      </c>
      <c r="AM419" s="2467" t="s">
        <v>6549</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6945</v>
      </c>
      <c r="BA419" s="2467" t="s">
        <v>6945</v>
      </c>
      <c r="BB419" s="2467" t="s">
        <v>6929</v>
      </c>
      <c r="BC419" s="2467" t="s">
        <v>6547</v>
      </c>
      <c r="BD419" s="2467" t="s">
        <v>6548</v>
      </c>
      <c r="BE419" s="2467" t="s">
        <v>6549</v>
      </c>
      <c r="BF419" s="2467">
        <v>0.09</v>
      </c>
      <c r="BG419" s="2467" t="s">
        <v>6945</v>
      </c>
      <c r="BH419" s="2467" t="s">
        <v>6945</v>
      </c>
      <c r="BI419" s="2467" t="s">
        <v>6929</v>
      </c>
      <c r="BJ419" s="2467" t="s">
        <v>6547</v>
      </c>
      <c r="BK419" s="2467" t="s">
        <v>6548</v>
      </c>
      <c r="BL419" s="2467" t="s">
        <v>6549</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6753</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6753</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6127</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6127</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6128</v>
      </c>
      <c r="AC422" s="2493"/>
      <c r="AD422" s="2493"/>
      <c r="AE422" s="2493"/>
      <c r="AF422" s="2493"/>
      <c r="AG422" s="2494">
        <v>3</v>
      </c>
      <c r="AH422" s="2486">
        <v>3</v>
      </c>
      <c r="AI422" s="2494"/>
      <c r="AJ422" s="2494"/>
      <c r="AK422" s="2485"/>
      <c r="AL422" s="2485"/>
      <c r="AM422" s="2486"/>
      <c r="AN422" s="2198" t="s">
        <v>6140</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6128</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3395</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3395</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3253</v>
      </c>
      <c r="P424" s="2399"/>
      <c r="Q424" s="2397"/>
      <c r="R424" s="2397"/>
      <c r="S424" s="2397"/>
      <c r="AA424" s="2468" t="s">
        <v>496</v>
      </c>
      <c r="AB424" s="2492" t="s">
        <v>4039</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4039</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3340</v>
      </c>
      <c r="AC425" s="2493"/>
      <c r="AD425" s="2493"/>
      <c r="AE425" s="2493"/>
      <c r="AF425" s="2493"/>
      <c r="AG425" s="2494">
        <v>3</v>
      </c>
      <c r="AH425" s="2486">
        <v>3</v>
      </c>
      <c r="AI425" s="2494"/>
      <c r="AJ425" s="2494"/>
      <c r="AK425" s="2485"/>
      <c r="AL425" s="2485"/>
      <c r="AM425" s="2486"/>
      <c r="AN425" s="3919" t="s">
        <v>6563</v>
      </c>
      <c r="AO425" s="3920"/>
      <c r="AP425" s="3920"/>
      <c r="AQ425" s="3920"/>
      <c r="AR425" s="2397"/>
      <c r="AS425" s="2468" t="s">
        <v>720</v>
      </c>
      <c r="AT425" s="2492" t="s">
        <v>3340</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3396</v>
      </c>
      <c r="AC426" s="2493"/>
      <c r="AD426" s="2493"/>
      <c r="AE426" s="2493"/>
      <c r="AF426" s="2493"/>
      <c r="AG426" s="2494">
        <v>7</v>
      </c>
      <c r="AH426" s="2486">
        <v>7</v>
      </c>
      <c r="AI426" s="2494"/>
      <c r="AJ426" s="2494"/>
      <c r="AK426" s="2485"/>
      <c r="AL426" s="2485"/>
      <c r="AM426" s="2486"/>
      <c r="AN426" s="3919"/>
      <c r="AO426" s="3920"/>
      <c r="AP426" s="3920"/>
      <c r="AQ426" s="3920"/>
      <c r="AR426" s="2397"/>
      <c r="AS426" s="2468" t="s">
        <v>280</v>
      </c>
      <c r="AT426" s="2492" t="s">
        <v>3396</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3397</v>
      </c>
      <c r="AC427" s="2493"/>
      <c r="AD427" s="2493"/>
      <c r="AE427" s="2493"/>
      <c r="AF427" s="2493"/>
      <c r="AG427" s="2494">
        <v>3</v>
      </c>
      <c r="AH427" s="2486"/>
      <c r="AI427" s="2494"/>
      <c r="AJ427" s="2494"/>
      <c r="AK427" s="2485"/>
      <c r="AL427" s="2485"/>
      <c r="AM427" s="2486"/>
      <c r="AN427" s="2199" t="s">
        <v>6558</v>
      </c>
      <c r="AO427" s="2199"/>
      <c r="AP427" s="2199"/>
      <c r="AQ427" s="2504"/>
      <c r="AR427" s="2397"/>
      <c r="AS427" s="2468" t="s">
        <v>401</v>
      </c>
      <c r="AT427" s="2492" t="s">
        <v>3397</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1407</v>
      </c>
      <c r="H428" s="4048"/>
      <c r="I428" s="4048"/>
      <c r="J428" s="2397" t="s">
        <v>3024</v>
      </c>
      <c r="K428" s="2397"/>
      <c r="L428" s="2397"/>
      <c r="M428" s="2397"/>
      <c r="N428" s="2342"/>
      <c r="O428" s="2399">
        <v>2</v>
      </c>
      <c r="P428" s="2399"/>
      <c r="Q428" s="2397"/>
      <c r="R428" s="2397"/>
      <c r="S428" s="2397"/>
      <c r="AA428" s="2468" t="s">
        <v>342</v>
      </c>
      <c r="AB428" s="2492" t="s">
        <v>4040</v>
      </c>
      <c r="AC428" s="2493"/>
      <c r="AD428" s="2493"/>
      <c r="AE428" s="2493"/>
      <c r="AF428" s="2493"/>
      <c r="AG428" s="2494">
        <v>9</v>
      </c>
      <c r="AH428" s="2486">
        <v>9</v>
      </c>
      <c r="AI428" s="2494"/>
      <c r="AJ428" s="2494"/>
      <c r="AK428" s="2485"/>
      <c r="AL428" s="2485"/>
      <c r="AM428" s="2486"/>
      <c r="AN428" s="2199" t="s">
        <v>3308</v>
      </c>
      <c r="AO428" s="2199"/>
      <c r="AP428" s="2199"/>
      <c r="AQ428" s="2505"/>
      <c r="AR428" s="2397"/>
      <c r="AS428" s="2468" t="s">
        <v>342</v>
      </c>
      <c r="AT428" s="2492" t="s">
        <v>4040</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4065</v>
      </c>
      <c r="H429" s="2397" t="s">
        <v>4066</v>
      </c>
      <c r="I429" s="2402" t="s">
        <v>4064</v>
      </c>
      <c r="J429" s="2397" t="s">
        <v>3025</v>
      </c>
      <c r="K429" s="2397"/>
      <c r="L429" s="2402"/>
      <c r="M429" s="2397"/>
      <c r="N429" s="2342"/>
      <c r="O429" s="2399">
        <v>2</v>
      </c>
      <c r="P429" s="2399"/>
      <c r="Q429" s="2397"/>
      <c r="R429" s="2397"/>
      <c r="S429" s="2397"/>
      <c r="AA429" s="2468" t="s">
        <v>343</v>
      </c>
      <c r="AB429" s="2492" t="s">
        <v>6129</v>
      </c>
      <c r="AC429" s="2493"/>
      <c r="AD429" s="2493"/>
      <c r="AE429" s="2493"/>
      <c r="AF429" s="2493"/>
      <c r="AG429" s="2494">
        <v>1</v>
      </c>
      <c r="AH429" s="2486"/>
      <c r="AI429" s="2494"/>
      <c r="AJ429" s="2494"/>
      <c r="AK429" s="2485"/>
      <c r="AL429" s="2485"/>
      <c r="AM429" s="2486"/>
      <c r="AN429" s="2506" t="s">
        <v>6144</v>
      </c>
      <c r="AO429" s="2199"/>
      <c r="AP429" s="2199"/>
      <c r="AQ429" s="2507"/>
      <c r="AR429" s="2397"/>
      <c r="AS429" s="2468" t="s">
        <v>343</v>
      </c>
      <c r="AT429" s="2492" t="s">
        <v>6129</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3251</v>
      </c>
      <c r="K430" s="2397"/>
      <c r="L430" s="2404"/>
      <c r="M430" s="2397"/>
      <c r="N430" s="2342"/>
      <c r="O430" s="2399">
        <v>2</v>
      </c>
      <c r="P430" s="2399"/>
      <c r="Q430" s="2397"/>
      <c r="R430" s="2397"/>
      <c r="S430" s="2397"/>
      <c r="AA430" s="2468" t="s">
        <v>344</v>
      </c>
      <c r="AB430" s="2492" t="s">
        <v>3263</v>
      </c>
      <c r="AC430" s="2493"/>
      <c r="AD430" s="2493"/>
      <c r="AE430" s="2493"/>
      <c r="AF430" s="2493"/>
      <c r="AG430" s="2494">
        <v>10</v>
      </c>
      <c r="AH430" s="2486">
        <v>10</v>
      </c>
      <c r="AI430" s="2494"/>
      <c r="AJ430" s="2494"/>
      <c r="AK430" s="2485"/>
      <c r="AL430" s="2485"/>
      <c r="AM430" s="2486"/>
      <c r="AN430" s="2506" t="s">
        <v>6513</v>
      </c>
      <c r="AO430" s="2199"/>
      <c r="AP430" s="2199" t="s">
        <v>6947</v>
      </c>
      <c r="AQ430" s="2508" t="str">
        <f>IF('Part VII-Threshold Criteria'!$P$223="Agree","Yes","")</f>
        <v/>
      </c>
      <c r="AR430" s="2397"/>
      <c r="AS430" s="2468" t="s">
        <v>344</v>
      </c>
      <c r="AT430" s="2492" t="s">
        <v>3263</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4068</v>
      </c>
      <c r="I431" s="2402" t="s">
        <v>2453</v>
      </c>
      <c r="J431" s="2397" t="s">
        <v>3026</v>
      </c>
      <c r="K431" s="2397"/>
      <c r="L431" s="2403"/>
      <c r="M431" s="2397"/>
      <c r="N431" s="2342"/>
      <c r="O431" s="2399">
        <v>1</v>
      </c>
      <c r="P431" s="2399"/>
      <c r="Q431" s="2397"/>
      <c r="R431" s="2397"/>
      <c r="S431" s="2397"/>
      <c r="AA431" s="2468" t="s">
        <v>1604</v>
      </c>
      <c r="AB431" s="2492" t="s">
        <v>6130</v>
      </c>
      <c r="AC431" s="2493"/>
      <c r="AD431" s="2493"/>
      <c r="AE431" s="2493"/>
      <c r="AF431" s="2493"/>
      <c r="AG431" s="2494">
        <v>3</v>
      </c>
      <c r="AH431" s="2486"/>
      <c r="AI431" s="2494"/>
      <c r="AJ431" s="2494"/>
      <c r="AK431" s="2485"/>
      <c r="AL431" s="2485"/>
      <c r="AM431" s="2486"/>
      <c r="AN431" s="2397"/>
      <c r="AO431" s="2199"/>
      <c r="AP431" s="2400" t="s">
        <v>6143</v>
      </c>
      <c r="AQ431" s="2508" t="str">
        <f>IF('Part VII-Threshold Criteria'!$P$224="Agree","Yes","")</f>
        <v/>
      </c>
      <c r="AR431" s="2397"/>
      <c r="AS431" s="2468" t="s">
        <v>1604</v>
      </c>
      <c r="AT431" s="2492" t="s">
        <v>6130</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4067</v>
      </c>
      <c r="J432" s="2397" t="s">
        <v>3027</v>
      </c>
      <c r="K432" s="2397"/>
      <c r="L432" s="2403"/>
      <c r="M432" s="2397"/>
      <c r="N432" s="2342"/>
      <c r="O432" s="2399">
        <v>1</v>
      </c>
      <c r="P432" s="2399"/>
      <c r="Q432" s="2397"/>
      <c r="R432" s="2397"/>
      <c r="S432" s="2397"/>
      <c r="AA432" s="2468" t="s">
        <v>3371</v>
      </c>
      <c r="AB432" s="2492" t="s">
        <v>4044</v>
      </c>
      <c r="AC432" s="2493"/>
      <c r="AD432" s="2493"/>
      <c r="AE432" s="2493"/>
      <c r="AF432" s="2493"/>
      <c r="AG432" s="2494">
        <v>5</v>
      </c>
      <c r="AH432" s="2486"/>
      <c r="AI432" s="2494"/>
      <c r="AJ432" s="2494"/>
      <c r="AK432" s="2485"/>
      <c r="AL432" s="2485"/>
      <c r="AM432" s="2486"/>
      <c r="AN432" s="2506"/>
      <c r="AO432" s="2199"/>
      <c r="AP432" s="2400" t="s">
        <v>6559</v>
      </c>
      <c r="AQ432" s="2509" t="str">
        <f>IF('Part VII-Threshold Criteria'!$P$225="Agree","Yes","")</f>
        <v>Yes</v>
      </c>
      <c r="AR432" s="2397"/>
      <c r="AS432" s="2468" t="s">
        <v>3371</v>
      </c>
      <c r="AT432" s="2492" t="s">
        <v>4044</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3805</v>
      </c>
      <c r="AC433" s="2493"/>
      <c r="AD433" s="2493"/>
      <c r="AE433" s="2493"/>
      <c r="AF433" s="2493"/>
      <c r="AG433" s="2494">
        <v>4</v>
      </c>
      <c r="AH433" s="2486">
        <v>4</v>
      </c>
      <c r="AI433" s="2494">
        <v>4</v>
      </c>
      <c r="AJ433" s="2494">
        <v>4</v>
      </c>
      <c r="AK433" s="2485">
        <v>4</v>
      </c>
      <c r="AL433" s="2485">
        <v>4</v>
      </c>
      <c r="AM433" s="2486">
        <v>4</v>
      </c>
      <c r="AN433" s="2510"/>
      <c r="AO433" s="2469"/>
      <c r="AP433" s="2511" t="s">
        <v>6560</v>
      </c>
      <c r="AQ433" s="2512" t="str">
        <f>IF('Part VII-Threshold Criteria'!$P$226="Agree","Yes","")</f>
        <v>Yes</v>
      </c>
      <c r="AR433" s="2397"/>
      <c r="AS433" s="2468" t="s">
        <v>2080</v>
      </c>
      <c r="AT433" s="2492" t="s">
        <v>3805</v>
      </c>
      <c r="AU433" s="2493"/>
      <c r="AV433" s="2493"/>
      <c r="AW433" s="2493"/>
      <c r="AX433" s="2493"/>
      <c r="AY433" s="2487">
        <f>O210</f>
        <v>3</v>
      </c>
      <c r="AZ433" s="2491">
        <f>O210</f>
        <v>3</v>
      </c>
      <c r="BA433" s="2487">
        <f>O210</f>
        <v>3</v>
      </c>
      <c r="BB433" s="2488">
        <f>O210</f>
        <v>3</v>
      </c>
      <c r="BC433" s="2488">
        <f>O210</f>
        <v>3</v>
      </c>
      <c r="BD433" s="2488">
        <f>O210</f>
        <v>3</v>
      </c>
      <c r="BE433" s="2489">
        <f>O210</f>
        <v>3</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4067</v>
      </c>
      <c r="J434" s="2397" t="s">
        <v>3252</v>
      </c>
      <c r="K434" s="2397"/>
      <c r="L434" s="2403"/>
      <c r="M434" s="2397"/>
      <c r="N434" s="2342"/>
      <c r="O434" s="2399">
        <v>1</v>
      </c>
      <c r="P434" s="2399"/>
      <c r="Q434" s="2397"/>
      <c r="R434" s="2397"/>
      <c r="S434" s="2397"/>
      <c r="AA434" s="2468" t="s">
        <v>3371</v>
      </c>
      <c r="AB434" s="2492" t="s">
        <v>6550</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3371</v>
      </c>
      <c r="AT434" s="2492" t="s">
        <v>6550</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3274</v>
      </c>
      <c r="H435" s="2342">
        <v>2019</v>
      </c>
      <c r="I435" s="2342" t="s">
        <v>4067</v>
      </c>
      <c r="J435" s="2397" t="s">
        <v>3036</v>
      </c>
      <c r="K435" s="2397"/>
      <c r="L435" s="2403"/>
      <c r="M435" s="2397"/>
      <c r="N435" s="2342"/>
      <c r="O435" s="2399">
        <v>1</v>
      </c>
      <c r="P435" s="2399"/>
      <c r="Q435" s="2397"/>
      <c r="R435" s="2397"/>
      <c r="S435" s="2397"/>
      <c r="AA435" s="2468" t="s">
        <v>3372</v>
      </c>
      <c r="AB435" s="2492" t="s">
        <v>6551</v>
      </c>
      <c r="AC435" s="2493"/>
      <c r="AD435" s="2493"/>
      <c r="AE435" s="2493"/>
      <c r="AF435" s="2493"/>
      <c r="AG435" s="2494">
        <v>2</v>
      </c>
      <c r="AH435" s="2486">
        <v>2</v>
      </c>
      <c r="AI435" s="2494">
        <v>2</v>
      </c>
      <c r="AJ435" s="2494">
        <v>2</v>
      </c>
      <c r="AK435" s="2485">
        <v>2</v>
      </c>
      <c r="AL435" s="2485">
        <v>2</v>
      </c>
      <c r="AM435" s="2486">
        <v>2</v>
      </c>
      <c r="AN435" s="2516" t="s">
        <v>6561</v>
      </c>
      <c r="AO435" s="2517"/>
      <c r="AP435" s="2518"/>
      <c r="AQ435" s="2507"/>
      <c r="AR435" s="2397"/>
      <c r="AS435" s="2468" t="s">
        <v>3372</v>
      </c>
      <c r="AT435" s="2492" t="s">
        <v>6551</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3370</v>
      </c>
      <c r="AB436" s="2492" t="s">
        <v>6556</v>
      </c>
      <c r="AC436" s="2493"/>
      <c r="AD436" s="2493"/>
      <c r="AE436" s="2493"/>
      <c r="AF436" s="2493"/>
      <c r="AG436" s="2494">
        <v>2</v>
      </c>
      <c r="AH436" s="2486"/>
      <c r="AI436" s="2494"/>
      <c r="AJ436" s="2494"/>
      <c r="AK436" s="2485">
        <v>2</v>
      </c>
      <c r="AL436" s="2485">
        <v>2</v>
      </c>
      <c r="AM436" s="2486">
        <v>2</v>
      </c>
      <c r="AN436" s="2199" t="s">
        <v>6562</v>
      </c>
      <c r="AO436" s="2199"/>
      <c r="AP436" s="2199"/>
      <c r="AQ436" s="2500" t="str">
        <f>'Part II-Sources of Funds'!$L$14</f>
        <v>No</v>
      </c>
      <c r="AR436" s="2397"/>
      <c r="AS436" s="2468" t="s">
        <v>3370</v>
      </c>
      <c r="AT436" s="2492" t="s">
        <v>6556</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4067</v>
      </c>
      <c r="J437" s="2397" t="s">
        <v>3030</v>
      </c>
      <c r="K437" s="2397"/>
      <c r="L437" s="2403"/>
      <c r="M437" s="2397"/>
      <c r="N437" s="2342"/>
      <c r="O437" s="2399">
        <v>1</v>
      </c>
      <c r="P437" s="2399"/>
      <c r="Q437" s="2397"/>
      <c r="R437" s="2397"/>
      <c r="S437" s="2397"/>
      <c r="AA437" s="2468" t="s">
        <v>3373</v>
      </c>
      <c r="AB437" s="2492" t="s">
        <v>6131</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3373</v>
      </c>
      <c r="AT437" s="2492" t="s">
        <v>6131</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4068</v>
      </c>
      <c r="I438" s="2402" t="s">
        <v>2453</v>
      </c>
      <c r="J438" s="2397" t="s">
        <v>3031</v>
      </c>
      <c r="K438" s="2397"/>
      <c r="L438" s="2403"/>
      <c r="M438" s="2397"/>
      <c r="N438" s="2342"/>
      <c r="O438" s="2399">
        <v>1</v>
      </c>
      <c r="P438" s="2399"/>
      <c r="Q438" s="2397"/>
      <c r="R438" s="2397"/>
      <c r="S438" s="2397"/>
      <c r="AA438" s="2468" t="s">
        <v>3374</v>
      </c>
      <c r="AB438" s="2492" t="s">
        <v>3398</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3374</v>
      </c>
      <c r="AT438" s="2492" t="s">
        <v>3398</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4068</v>
      </c>
      <c r="I439" s="2402" t="s">
        <v>2453</v>
      </c>
      <c r="J439" s="2397" t="s">
        <v>3032</v>
      </c>
      <c r="K439" s="2397"/>
      <c r="L439" s="2403"/>
      <c r="M439" s="2397"/>
      <c r="N439" s="2342"/>
      <c r="O439" s="2399">
        <v>1</v>
      </c>
      <c r="P439" s="2399"/>
      <c r="Q439" s="2397"/>
      <c r="R439" s="2397"/>
      <c r="S439" s="2397"/>
      <c r="AA439" s="2468" t="s">
        <v>3377</v>
      </c>
      <c r="AB439" s="2492" t="s">
        <v>3399</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3377</v>
      </c>
      <c r="AT439" s="2492" t="s">
        <v>3399</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4067</v>
      </c>
      <c r="J440" s="2397" t="s">
        <v>3035</v>
      </c>
      <c r="K440" s="2397"/>
      <c r="L440" s="2403"/>
      <c r="M440" s="2397"/>
      <c r="N440" s="2342"/>
      <c r="O440" s="2399">
        <v>1</v>
      </c>
      <c r="P440" s="2399"/>
      <c r="Q440" s="2397"/>
      <c r="R440" s="2397"/>
      <c r="S440" s="2397"/>
      <c r="AA440" s="2468" t="s">
        <v>3378</v>
      </c>
      <c r="AB440" s="2492" t="s">
        <v>3400</v>
      </c>
      <c r="AC440" s="2493"/>
      <c r="AD440" s="2493"/>
      <c r="AE440" s="2493"/>
      <c r="AF440" s="2493"/>
      <c r="AG440" s="2494">
        <v>2</v>
      </c>
      <c r="AH440" s="2486"/>
      <c r="AI440" s="2494"/>
      <c r="AJ440" s="2494"/>
      <c r="AK440" s="2485"/>
      <c r="AL440" s="2485"/>
      <c r="AM440" s="2486"/>
      <c r="AN440" s="2397"/>
      <c r="AO440" s="2397"/>
      <c r="AP440" s="2397"/>
      <c r="AQ440" s="2397"/>
      <c r="AR440" s="2397"/>
      <c r="AS440" s="2468" t="s">
        <v>3378</v>
      </c>
      <c r="AT440" s="2492" t="s">
        <v>3400</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4068</v>
      </c>
      <c r="I441" s="2402" t="s">
        <v>2453</v>
      </c>
      <c r="J441" s="2397" t="s">
        <v>3033</v>
      </c>
      <c r="K441" s="2397"/>
      <c r="L441" s="2403"/>
      <c r="M441" s="2397"/>
      <c r="N441" s="2342"/>
      <c r="O441" s="2399">
        <v>1</v>
      </c>
      <c r="P441" s="2399"/>
      <c r="Q441" s="2397"/>
      <c r="R441" s="2397"/>
      <c r="S441" s="2397"/>
      <c r="AA441" s="2468" t="s">
        <v>3379</v>
      </c>
      <c r="AB441" s="2492" t="s">
        <v>6132</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3379</v>
      </c>
      <c r="AT441" s="2492" t="s">
        <v>6132</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4067</v>
      </c>
      <c r="J442" s="2397" t="s">
        <v>3034</v>
      </c>
      <c r="K442" s="2397"/>
      <c r="L442" s="2403"/>
      <c r="M442" s="2397"/>
      <c r="N442" s="2342"/>
      <c r="O442" s="2399">
        <v>1</v>
      </c>
      <c r="P442" s="2399"/>
      <c r="Q442" s="2397"/>
      <c r="R442" s="2397"/>
      <c r="S442" s="2397"/>
      <c r="AA442" s="2468" t="s">
        <v>3380</v>
      </c>
      <c r="AB442" s="2492" t="s">
        <v>6552</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3380</v>
      </c>
      <c r="AT442" s="2492" t="s">
        <v>6552</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4067</v>
      </c>
      <c r="J443" s="2397"/>
      <c r="K443" s="2397"/>
      <c r="L443" s="2403"/>
      <c r="M443" s="2397"/>
      <c r="N443" s="2342"/>
      <c r="O443" s="2399"/>
      <c r="P443" s="2399"/>
      <c r="Q443" s="2397"/>
      <c r="R443" s="2397"/>
      <c r="S443" s="2397"/>
      <c r="AA443" s="2468" t="s">
        <v>3381</v>
      </c>
      <c r="AB443" s="2492" t="s">
        <v>6133</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3381</v>
      </c>
      <c r="AT443" s="2492" t="s">
        <v>6133</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4067</v>
      </c>
      <c r="J444" s="2397"/>
      <c r="K444" s="2397"/>
      <c r="L444" s="2403"/>
      <c r="M444" s="2397"/>
      <c r="N444" s="2342"/>
      <c r="O444" s="2399"/>
      <c r="P444" s="2399"/>
      <c r="Q444" s="2397"/>
      <c r="R444" s="2397"/>
      <c r="S444" s="2397"/>
      <c r="AA444" s="2468" t="s">
        <v>3382</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3382</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4067</v>
      </c>
      <c r="J445" s="2405" t="s">
        <v>3262</v>
      </c>
      <c r="K445" s="2397"/>
      <c r="L445" s="2403"/>
      <c r="M445" s="2397"/>
      <c r="N445" s="2342"/>
      <c r="O445" s="2399"/>
      <c r="P445" s="2399"/>
      <c r="Q445" s="2397"/>
      <c r="R445" s="2397"/>
      <c r="S445" s="2397"/>
      <c r="AA445" s="2468" t="s">
        <v>3804</v>
      </c>
      <c r="AB445" s="2492" t="s">
        <v>6554</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3804</v>
      </c>
      <c r="AT445" s="2492" t="s">
        <v>6554</v>
      </c>
      <c r="AU445" s="2493"/>
      <c r="AV445" s="2493"/>
      <c r="AW445" s="2493"/>
      <c r="AX445" s="2493"/>
      <c r="AY445" s="2494"/>
      <c r="AZ445" s="2486"/>
      <c r="BA445" s="2487">
        <f>O358</f>
        <v>4</v>
      </c>
      <c r="BB445" s="2488">
        <f>O358</f>
        <v>4</v>
      </c>
      <c r="BC445" s="2488">
        <f>O358</f>
        <v>4</v>
      </c>
      <c r="BD445" s="2488">
        <f>O358</f>
        <v>4</v>
      </c>
      <c r="BE445" s="2489">
        <f>O358</f>
        <v>4</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4067</v>
      </c>
      <c r="J446" s="2397" t="s">
        <v>3338</v>
      </c>
      <c r="K446" s="2397"/>
      <c r="L446" s="2403"/>
      <c r="M446" s="2397"/>
      <c r="N446" s="2342"/>
      <c r="O446" s="2399"/>
      <c r="P446" s="2399"/>
      <c r="Q446" s="2397"/>
      <c r="R446" s="2397"/>
      <c r="S446" s="2397"/>
      <c r="AA446" s="2468" t="s">
        <v>6557</v>
      </c>
      <c r="AB446" s="2514" t="s">
        <v>6555</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6557</v>
      </c>
      <c r="AT446" s="2514" t="s">
        <v>6555</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4067</v>
      </c>
      <c r="J447" s="2397" t="s">
        <v>3333</v>
      </c>
      <c r="K447" s="2397"/>
      <c r="L447" s="2403"/>
      <c r="M447" s="2397"/>
      <c r="N447" s="2342"/>
      <c r="O447" s="2399"/>
      <c r="P447" s="2399"/>
      <c r="Q447" s="2397"/>
      <c r="R447" s="2397"/>
      <c r="S447" s="2397"/>
      <c r="AA447" s="2468" t="s">
        <v>6918</v>
      </c>
      <c r="AB447" s="2527" t="s">
        <v>6927</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4067</v>
      </c>
      <c r="J448" s="2397" t="s">
        <v>3255</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4068</v>
      </c>
      <c r="I449" s="2402" t="s">
        <v>2453</v>
      </c>
      <c r="J449" s="2397" t="s">
        <v>3329</v>
      </c>
      <c r="K449" s="2397"/>
      <c r="L449" s="2403"/>
      <c r="M449" s="2397"/>
      <c r="N449" s="2342"/>
      <c r="O449" s="2399"/>
      <c r="P449" s="2399"/>
      <c r="Q449" s="2397"/>
      <c r="R449" s="2397"/>
      <c r="S449" s="2397"/>
      <c r="AA449" s="2199"/>
      <c r="AB449" s="2540"/>
      <c r="AC449" s="2199"/>
      <c r="AD449" s="2198" t="s">
        <v>6245</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31</v>
      </c>
      <c r="AZ449" s="2542">
        <f>IF(AND($O$36="4%",($C$36-$A$36)&gt;0),(SUM(AZ420:AZ447)-($C$36-$A$36)),SUM(AZ420:AZ447))</f>
        <v>29</v>
      </c>
      <c r="BA449" s="2542">
        <f t="shared" ref="BA449:BB449" si="3">IF(AND($O$36="4%",($C$36-$A$36)&gt;0),(SUM(BA420:BA447)-($C$36-$A$36)),SUM(BA420:BA447))</f>
        <v>39</v>
      </c>
      <c r="BB449" s="2542">
        <f t="shared" si="3"/>
        <v>39</v>
      </c>
      <c r="BC449" s="2542">
        <f t="shared" ref="BC449:BL449" si="4">SUM(BC420:BC447)</f>
        <v>41</v>
      </c>
      <c r="BD449" s="2542">
        <f t="shared" si="4"/>
        <v>41</v>
      </c>
      <c r="BE449" s="2542">
        <f t="shared" si="4"/>
        <v>41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4067</v>
      </c>
      <c r="J450" s="2397" t="s">
        <v>3256</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4067</v>
      </c>
      <c r="J451" s="2397" t="s">
        <v>3330</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4067</v>
      </c>
      <c r="J452" s="2397" t="s">
        <v>3257</v>
      </c>
      <c r="K452" s="2397"/>
      <c r="L452" s="2397"/>
      <c r="M452" s="2397"/>
      <c r="N452" s="2342"/>
      <c r="O452" s="2399"/>
      <c r="P452" s="2399"/>
      <c r="Q452" s="2397"/>
      <c r="R452" s="2397"/>
      <c r="S452" s="2397"/>
    </row>
    <row r="453" spans="2:66">
      <c r="B453" s="2397"/>
      <c r="C453" s="2397"/>
      <c r="D453" s="2397"/>
      <c r="E453" s="2397"/>
      <c r="F453" s="2397"/>
      <c r="G453" s="2404" t="s">
        <v>3347</v>
      </c>
      <c r="H453" s="2342" t="s">
        <v>4068</v>
      </c>
      <c r="I453" s="2402" t="s">
        <v>2453</v>
      </c>
      <c r="J453" s="2397" t="s">
        <v>3331</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4067</v>
      </c>
      <c r="J454" s="2397" t="s">
        <v>3334</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4067</v>
      </c>
      <c r="J455" s="2397" t="s">
        <v>3337</v>
      </c>
      <c r="K455" s="2397"/>
      <c r="L455" s="2397"/>
      <c r="M455" s="2397"/>
      <c r="N455" s="2397"/>
      <c r="O455" s="2397"/>
      <c r="P455" s="2397"/>
      <c r="Q455" s="2397"/>
      <c r="R455" s="2397"/>
      <c r="S455" s="2397"/>
    </row>
    <row r="456" spans="2:66" ht="14.25">
      <c r="B456" s="2397"/>
      <c r="C456" s="2397"/>
      <c r="D456" s="2406"/>
      <c r="E456" s="2397"/>
      <c r="F456" s="2397"/>
      <c r="G456" s="2404" t="s">
        <v>1349</v>
      </c>
      <c r="H456" s="2342" t="s">
        <v>4068</v>
      </c>
      <c r="I456" s="2402" t="s">
        <v>2453</v>
      </c>
      <c r="J456" s="2397" t="s">
        <v>3258</v>
      </c>
      <c r="K456" s="2397"/>
      <c r="L456" s="2403"/>
      <c r="M456" s="2397"/>
      <c r="N456" s="2397"/>
      <c r="O456" s="2397"/>
      <c r="P456" s="2397"/>
      <c r="Q456" s="2397"/>
      <c r="R456" s="2397"/>
      <c r="S456" s="2397"/>
    </row>
    <row r="457" spans="2:66" ht="14.25">
      <c r="B457" s="2397"/>
      <c r="C457" s="2397"/>
      <c r="D457" s="2406"/>
      <c r="E457" s="2397"/>
      <c r="F457" s="2397"/>
      <c r="G457" s="2404" t="s">
        <v>1707</v>
      </c>
      <c r="H457" s="2342" t="s">
        <v>4068</v>
      </c>
      <c r="I457" s="2402" t="s">
        <v>2453</v>
      </c>
      <c r="J457" s="2397" t="s">
        <v>3259</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4067</v>
      </c>
      <c r="J458" s="2397" t="s">
        <v>3332</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4067</v>
      </c>
      <c r="J459" s="2397" t="s">
        <v>3335</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4067</v>
      </c>
      <c r="J460" s="2397" t="s">
        <v>3336</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4067</v>
      </c>
      <c r="J461" s="2397" t="s">
        <v>3260</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4067</v>
      </c>
      <c r="J462" s="2397" t="s">
        <v>3261</v>
      </c>
      <c r="K462" s="2397"/>
      <c r="L462" s="2403"/>
      <c r="M462" s="2397"/>
      <c r="N462" s="2397"/>
      <c r="O462" s="2397"/>
      <c r="P462" s="2397"/>
      <c r="Q462" s="2397"/>
      <c r="R462" s="2397"/>
      <c r="S462" s="2397"/>
    </row>
    <row r="463" spans="2:66" ht="14.25">
      <c r="B463" s="2397"/>
      <c r="C463" s="2406"/>
      <c r="D463" s="2397"/>
      <c r="E463" s="2397"/>
      <c r="F463" s="2397"/>
      <c r="G463" s="2404" t="s">
        <v>4062</v>
      </c>
      <c r="H463" s="2342" t="s">
        <v>4068</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4068</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4068</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4068</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4067</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4067</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4067</v>
      </c>
      <c r="J469" s="2397"/>
      <c r="K469" s="2397"/>
      <c r="L469" s="2397"/>
      <c r="M469" s="2397"/>
      <c r="N469" s="2397"/>
      <c r="O469" s="2397"/>
      <c r="P469" s="2397"/>
      <c r="Q469" s="2397"/>
      <c r="R469" s="2397"/>
      <c r="S469" s="2397"/>
    </row>
    <row r="470" spans="2:19">
      <c r="B470" s="2397"/>
      <c r="C470" s="2397"/>
      <c r="D470" s="2397"/>
      <c r="E470" s="2397"/>
      <c r="F470" s="2397"/>
      <c r="G470" s="2404" t="s">
        <v>4063</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4067</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4067</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4067</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4067</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4067</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4067</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4067</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4068</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7" workbookViewId="0">
      <selection activeCell="B20" sqref="B20:M20"/>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9" t="s">
        <v>2480</v>
      </c>
      <c r="B5" s="4109"/>
      <c r="C5" s="4109"/>
      <c r="D5" s="4109"/>
      <c r="E5" s="4109"/>
      <c r="F5" s="4109"/>
      <c r="G5" s="4109"/>
      <c r="H5" s="4109"/>
      <c r="I5" s="4109"/>
      <c r="J5" s="4109"/>
      <c r="K5" s="4109"/>
      <c r="L5" s="4109"/>
      <c r="M5" s="410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6928</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3189</v>
      </c>
      <c r="C13" s="4107"/>
      <c r="D13" s="4107"/>
      <c r="E13" s="4107"/>
      <c r="F13" s="4107"/>
      <c r="G13" s="4107"/>
      <c r="H13" s="4107"/>
      <c r="I13" s="4107"/>
      <c r="J13" s="4107"/>
      <c r="K13" s="4107"/>
      <c r="L13" s="4107"/>
      <c r="M13" s="4107"/>
      <c r="U13" s="809" t="s">
        <v>6272</v>
      </c>
    </row>
    <row r="14" spans="1:26" ht="47.25" customHeight="1">
      <c r="A14" s="815" t="s">
        <v>1615</v>
      </c>
      <c r="B14" s="4107" t="s">
        <v>3190</v>
      </c>
      <c r="C14" s="4107"/>
      <c r="D14" s="4107"/>
      <c r="E14" s="4107"/>
      <c r="F14" s="4107"/>
      <c r="G14" s="4107"/>
      <c r="H14" s="4107"/>
      <c r="I14" s="4107"/>
      <c r="J14" s="4107"/>
      <c r="K14" s="4107"/>
      <c r="L14" s="4107"/>
      <c r="M14" s="4107"/>
    </row>
    <row r="15" spans="1:26" ht="117" customHeight="1">
      <c r="A15" s="815" t="s">
        <v>1616</v>
      </c>
      <c r="B15" s="4107" t="s">
        <v>3191</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8" t="s">
        <v>3192</v>
      </c>
      <c r="C19" s="4108"/>
      <c r="D19" s="4108"/>
      <c r="E19" s="4108"/>
      <c r="F19" s="4108"/>
      <c r="G19" s="4108"/>
      <c r="H19" s="4108"/>
      <c r="I19" s="4108"/>
      <c r="J19" s="4108"/>
      <c r="K19" s="4108"/>
      <c r="L19" s="4108"/>
      <c r="M19" s="4108"/>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3088</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3089</v>
      </c>
      <c r="C25" s="4107"/>
      <c r="D25" s="4107"/>
      <c r="E25" s="4107"/>
      <c r="F25" s="4107"/>
      <c r="G25" s="4107"/>
      <c r="H25" s="4107"/>
      <c r="I25" s="4107"/>
      <c r="J25" s="4107"/>
      <c r="K25" s="4107"/>
      <c r="L25" s="4107"/>
      <c r="M25" s="4107"/>
    </row>
    <row r="26" spans="1:13" ht="31.5" customHeight="1">
      <c r="A26" s="815" t="s">
        <v>1375</v>
      </c>
      <c r="B26" s="4107" t="s">
        <v>3090</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6" t="s">
        <v>7125</v>
      </c>
      <c r="B35" s="4106"/>
      <c r="C35" s="4106"/>
      <c r="D35" s="4106"/>
      <c r="E35" s="4106"/>
      <c r="F35" s="4106"/>
      <c r="G35" s="813"/>
      <c r="H35" s="4106" t="s">
        <v>7126</v>
      </c>
      <c r="I35" s="4106"/>
      <c r="J35" s="4106"/>
      <c r="K35" s="4106"/>
      <c r="L35" s="4106"/>
      <c r="M35" s="4106"/>
    </row>
    <row r="36" spans="1:13" ht="12" customHeight="1">
      <c r="A36" s="4103" t="s">
        <v>865</v>
      </c>
      <c r="B36" s="4103"/>
      <c r="C36" s="4103"/>
      <c r="D36" s="4103"/>
      <c r="E36" s="4103"/>
      <c r="F36" s="4103"/>
      <c r="G36" s="813"/>
      <c r="H36" s="4103" t="s">
        <v>1839</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ht="16.5">
      <c r="A38" s="4101"/>
      <c r="B38" s="4101"/>
      <c r="C38" s="4101"/>
      <c r="D38" s="4101"/>
      <c r="E38" s="4101"/>
      <c r="F38" s="4101"/>
      <c r="G38" s="813"/>
      <c r="H38" s="4102">
        <v>45064</v>
      </c>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4" t="s">
        <v>868</v>
      </c>
      <c r="I41" s="4104"/>
      <c r="J41" s="4104"/>
      <c r="K41" s="4104"/>
      <c r="L41" s="4104"/>
      <c r="M41" s="410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27" t="str">
        <f>'Part I-Project Identification'!F25</f>
        <v>Richmond Summit</v>
      </c>
      <c r="E3" s="4128"/>
      <c r="F3" s="4128"/>
      <c r="G3" s="4128"/>
      <c r="H3" s="4128"/>
      <c r="I3" s="4128"/>
      <c r="J3" s="4129" t="s">
        <v>6172</v>
      </c>
      <c r="K3" s="4130"/>
    </row>
    <row r="4" spans="1:11" ht="15" customHeight="1">
      <c r="A4" s="1332" t="s">
        <v>3970</v>
      </c>
      <c r="B4" s="1333"/>
      <c r="C4" s="1334"/>
      <c r="D4" s="4131"/>
      <c r="E4" s="4132"/>
      <c r="F4" s="4132"/>
      <c r="G4" s="4132"/>
      <c r="H4" s="4132"/>
      <c r="I4" s="4132"/>
      <c r="J4" s="4133" t="s">
        <v>4011</v>
      </c>
      <c r="K4" s="4134"/>
    </row>
    <row r="5" spans="1:11" ht="15" customHeight="1" thickBot="1">
      <c r="A5" s="1335" t="s">
        <v>3971</v>
      </c>
      <c r="B5" s="1336"/>
      <c r="C5" s="1337"/>
      <c r="D5" s="4137"/>
      <c r="E5" s="4138"/>
      <c r="F5" s="4138"/>
      <c r="G5" s="4138"/>
      <c r="H5" s="4138"/>
      <c r="I5" s="4138"/>
      <c r="J5" s="4135"/>
      <c r="K5" s="4136"/>
    </row>
    <row r="6" spans="1:11" ht="9" customHeight="1" thickBot="1">
      <c r="E6" s="1327"/>
    </row>
    <row r="7" spans="1:11">
      <c r="A7" s="4119" t="s">
        <v>3973</v>
      </c>
      <c r="B7" s="4120"/>
      <c r="C7" s="4120"/>
      <c r="D7" s="4120"/>
      <c r="E7" s="4120"/>
      <c r="F7" s="4120"/>
      <c r="G7" s="4120"/>
      <c r="H7" s="4120"/>
      <c r="I7" s="4120"/>
      <c r="J7" s="4120"/>
      <c r="K7" s="4121"/>
    </row>
    <row r="8" spans="1:11" ht="14.25" customHeight="1">
      <c r="A8" s="1333"/>
      <c r="B8" s="1333"/>
      <c r="C8" s="1567">
        <v>1</v>
      </c>
      <c r="D8" s="1352" t="s">
        <v>3974</v>
      </c>
      <c r="E8" s="1352"/>
      <c r="F8" s="1352"/>
      <c r="G8" s="1352"/>
      <c r="H8" s="1352"/>
      <c r="I8" s="1352"/>
      <c r="J8" s="4117"/>
      <c r="K8" s="4118"/>
    </row>
    <row r="9" spans="1:11" ht="7.15" customHeight="1">
      <c r="A9" s="4122"/>
      <c r="B9" s="4122"/>
      <c r="C9" s="4122"/>
      <c r="D9" s="4123"/>
      <c r="E9" s="4123"/>
      <c r="F9" s="4123"/>
      <c r="G9" s="4123"/>
      <c r="H9" s="4123"/>
      <c r="I9" s="4123"/>
      <c r="J9" s="4123"/>
      <c r="K9" s="1353"/>
    </row>
    <row r="10" spans="1:11">
      <c r="A10" s="4124" t="s">
        <v>3975</v>
      </c>
      <c r="B10" s="4125"/>
      <c r="C10" s="4125"/>
      <c r="D10" s="4125"/>
      <c r="E10" s="4125"/>
      <c r="F10" s="4125"/>
      <c r="G10" s="4125"/>
      <c r="H10" s="4125"/>
      <c r="I10" s="4125"/>
      <c r="J10" s="4125"/>
      <c r="K10" s="4126"/>
    </row>
    <row r="11" spans="1:11" ht="14.25" customHeight="1">
      <c r="A11" s="1333"/>
      <c r="B11" s="1333"/>
      <c r="C11" s="1567">
        <v>2</v>
      </c>
      <c r="D11" s="1352" t="s">
        <v>3976</v>
      </c>
      <c r="E11" s="1354"/>
      <c r="F11" s="1354"/>
      <c r="G11" s="1354"/>
      <c r="H11" s="1354"/>
      <c r="I11" s="1354"/>
      <c r="J11" s="4115"/>
      <c r="K11" s="4116"/>
    </row>
    <row r="12" spans="1:11" ht="7.15" customHeight="1">
      <c r="A12" s="4122"/>
      <c r="B12" s="4122"/>
      <c r="C12" s="4122"/>
      <c r="D12" s="4123"/>
      <c r="E12" s="4123"/>
      <c r="F12" s="4123"/>
      <c r="G12" s="4123"/>
      <c r="H12" s="4123"/>
      <c r="I12" s="4123"/>
      <c r="J12" s="4123"/>
      <c r="K12" s="1355"/>
    </row>
    <row r="13" spans="1:11">
      <c r="A13" s="4124" t="s">
        <v>3977</v>
      </c>
      <c r="B13" s="4125"/>
      <c r="C13" s="4125"/>
      <c r="D13" s="4125"/>
      <c r="E13" s="4125"/>
      <c r="F13" s="4125"/>
      <c r="G13" s="4125"/>
      <c r="H13" s="4125"/>
      <c r="I13" s="4125"/>
      <c r="J13" s="4125"/>
      <c r="K13" s="4126"/>
    </row>
    <row r="14" spans="1:11" ht="14.25" customHeight="1">
      <c r="A14" s="1333"/>
      <c r="B14" s="1333"/>
      <c r="C14" s="1568">
        <v>3</v>
      </c>
      <c r="D14" s="1356" t="s">
        <v>3978</v>
      </c>
      <c r="E14" s="1356"/>
      <c r="F14" s="1356"/>
      <c r="G14" s="1356"/>
      <c r="H14" s="1356"/>
      <c r="I14" s="1356"/>
      <c r="J14" s="4113"/>
      <c r="K14" s="4114"/>
    </row>
    <row r="15" spans="1:11" ht="14.25" customHeight="1">
      <c r="A15" s="1333"/>
      <c r="B15" s="1333"/>
      <c r="C15" s="1569">
        <v>4</v>
      </c>
      <c r="D15" s="1333" t="s">
        <v>3979</v>
      </c>
      <c r="E15" s="1333"/>
      <c r="F15" s="1333"/>
      <c r="G15" s="1333"/>
      <c r="H15" s="1333"/>
      <c r="I15" s="1333"/>
      <c r="J15" s="4111"/>
      <c r="K15" s="4112"/>
    </row>
    <row r="16" spans="1:11" ht="14.25" customHeight="1">
      <c r="A16" s="1333"/>
      <c r="B16" s="1333"/>
      <c r="C16" s="1569">
        <v>5</v>
      </c>
      <c r="D16" s="1333" t="s">
        <v>3980</v>
      </c>
      <c r="E16" s="1333"/>
      <c r="F16" s="1333"/>
      <c r="G16" s="1333"/>
      <c r="H16" s="1333"/>
      <c r="I16" s="1333"/>
      <c r="J16" s="4111"/>
      <c r="K16" s="4112"/>
    </row>
    <row r="17" spans="1:13" ht="14.25" customHeight="1">
      <c r="A17" s="1333"/>
      <c r="B17" s="1333"/>
      <c r="C17" s="1570">
        <v>6</v>
      </c>
      <c r="D17" s="1336" t="s">
        <v>3981</v>
      </c>
      <c r="E17" s="1336"/>
      <c r="F17" s="1336"/>
      <c r="G17" s="1336"/>
      <c r="H17" s="1336"/>
      <c r="I17" s="1336"/>
      <c r="J17" s="4188"/>
      <c r="K17" s="418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3982</v>
      </c>
      <c r="E19" s="1356"/>
      <c r="F19" s="1356"/>
      <c r="G19" s="1356"/>
      <c r="H19" s="1356"/>
      <c r="I19" s="1356"/>
      <c r="J19" s="4186" t="str">
        <f>IF(J17="No",J14-J15,IF(J17="Yes",J14-J15-J16,"Error"))</f>
        <v>Error</v>
      </c>
      <c r="K19" s="4187"/>
    </row>
    <row r="20" spans="1:13" ht="14.25" customHeight="1">
      <c r="A20" s="1333"/>
      <c r="B20" s="1333"/>
      <c r="C20" s="1570">
        <v>8</v>
      </c>
      <c r="D20" s="1336" t="s">
        <v>3983</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3984</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4015</v>
      </c>
      <c r="B30" s="4145"/>
      <c r="C30" s="4145"/>
      <c r="D30" s="4145"/>
      <c r="E30" s="4145"/>
      <c r="F30" s="4145"/>
      <c r="G30" s="4145"/>
      <c r="H30" s="4145"/>
      <c r="I30" s="4145"/>
      <c r="J30" s="4145"/>
      <c r="K30" s="4146"/>
    </row>
    <row r="31" spans="1:13">
      <c r="B31" s="4147" t="s">
        <v>6172</v>
      </c>
      <c r="C31" s="4147"/>
      <c r="D31" s="4147"/>
      <c r="E31" s="4147"/>
      <c r="F31" s="4147"/>
      <c r="G31" s="4148" t="s">
        <v>3986</v>
      </c>
      <c r="H31" s="4149"/>
      <c r="I31" s="4149"/>
      <c r="J31" s="4149"/>
      <c r="K31" s="4150"/>
    </row>
    <row r="32" spans="1:13" ht="56.25" customHeight="1">
      <c r="A32" s="1351"/>
      <c r="B32" s="1369" t="s">
        <v>4014</v>
      </c>
      <c r="C32" s="1370" t="s">
        <v>4010</v>
      </c>
      <c r="D32" s="1370" t="s">
        <v>4009</v>
      </c>
      <c r="E32" s="4151" t="s">
        <v>6100</v>
      </c>
      <c r="F32" s="4152"/>
      <c r="G32" s="1371" t="s">
        <v>3987</v>
      </c>
      <c r="H32" s="1371" t="s">
        <v>3988</v>
      </c>
      <c r="J32" s="1371" t="s">
        <v>3989</v>
      </c>
      <c r="K32" s="1371" t="s">
        <v>3990</v>
      </c>
      <c r="L32" s="4139" t="s">
        <v>3991</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3992</v>
      </c>
      <c r="H52" s="1372" t="e">
        <f>SUM(H33:H51)</f>
        <v>#VALUE!</v>
      </c>
      <c r="I52" s="1356"/>
      <c r="J52" s="1362" t="s">
        <v>3993</v>
      </c>
      <c r="K52" s="1358" t="e">
        <f>SUM(K33:K51)</f>
        <v>#VALUE!</v>
      </c>
      <c r="L52" s="4139"/>
      <c r="M52" s="4139"/>
    </row>
    <row r="53" spans="1:13" ht="15" customHeight="1">
      <c r="B53" s="1363"/>
      <c r="C53" s="4158" t="s">
        <v>3994</v>
      </c>
      <c r="D53" s="4158"/>
      <c r="E53" s="4158"/>
      <c r="F53" s="4158"/>
      <c r="G53" s="4158"/>
      <c r="H53" s="4158"/>
      <c r="I53" s="4158"/>
      <c r="J53" s="4159"/>
      <c r="K53" s="1364" t="str">
        <f>IF(J17="no",0,IF(J17="yes",J16,"Error"))</f>
        <v>Error</v>
      </c>
      <c r="L53" s="4139"/>
      <c r="M53" s="4139"/>
    </row>
    <row r="54" spans="1:13" ht="15" customHeight="1" thickBot="1">
      <c r="B54" s="1363"/>
      <c r="C54" s="4160" t="s">
        <v>3995</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3996</v>
      </c>
      <c r="B56" s="4154"/>
      <c r="C56" s="4154"/>
      <c r="D56" s="4154"/>
      <c r="E56" s="4154"/>
      <c r="F56" s="4154"/>
      <c r="G56" s="4154"/>
      <c r="H56" s="4154"/>
      <c r="I56" s="4154"/>
      <c r="J56" s="4154"/>
      <c r="K56" s="4155"/>
    </row>
    <row r="57" spans="1:13" ht="48" customHeight="1">
      <c r="A57" s="1348"/>
      <c r="B57" s="1339"/>
      <c r="C57" s="1350" t="s">
        <v>3997</v>
      </c>
      <c r="D57" s="1483" t="s">
        <v>6065</v>
      </c>
      <c r="E57" s="4164" t="s">
        <v>4013</v>
      </c>
      <c r="F57" s="4165"/>
      <c r="G57" s="4166" t="s">
        <v>3998</v>
      </c>
      <c r="H57" s="4167"/>
      <c r="I57" s="4164" t="s">
        <v>4012</v>
      </c>
      <c r="J57" s="4165"/>
      <c r="K57" s="4168"/>
    </row>
    <row r="58" spans="1:13" ht="15" customHeight="1">
      <c r="A58" s="1465"/>
      <c r="B58" s="1381"/>
      <c r="C58" s="1359">
        <f>SUMIF(C33:C51, "0", H33:H51)</f>
        <v>0</v>
      </c>
      <c r="D58" s="1484">
        <f t="shared" ref="D58:D63" si="4">ROUNDUP(C58*1.1,0)</f>
        <v>0</v>
      </c>
      <c r="E58" s="4170" t="s">
        <v>3999</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2462</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2463</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2466</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4000</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4001</v>
      </c>
      <c r="F63" s="4180"/>
      <c r="G63" s="4172">
        <f>'DCA Underwriting Assumptions'!H133</f>
        <v>316236</v>
      </c>
      <c r="H63" s="4173"/>
      <c r="I63" s="4181">
        <f t="shared" si="5"/>
        <v>0</v>
      </c>
      <c r="J63" s="4181"/>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63"/>
      <c r="B65" s="4163"/>
      <c r="C65" s="4163"/>
      <c r="D65" s="4163"/>
      <c r="E65" s="4163"/>
      <c r="F65" s="4163"/>
      <c r="G65" s="4163"/>
      <c r="H65" s="4163"/>
      <c r="I65" s="4163"/>
      <c r="J65" s="4163"/>
    </row>
    <row r="66" spans="1:11">
      <c r="A66" s="4153" t="s">
        <v>4004</v>
      </c>
      <c r="B66" s="4154"/>
      <c r="C66" s="4154"/>
      <c r="D66" s="4154"/>
      <c r="E66" s="4154"/>
      <c r="F66" s="4154"/>
      <c r="G66" s="4154"/>
      <c r="H66" s="4154"/>
      <c r="I66" s="4154"/>
      <c r="J66" s="4154"/>
      <c r="K66" s="4155"/>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78" t="s">
        <v>4008</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Richmond Summit, Augusta, Richmond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6532</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6531</v>
      </c>
      <c r="M5" s="1807" t="str">
        <f>'Part I-Project Identification'!$F$12</f>
        <v>9% Credit Competitive Round only</v>
      </c>
      <c r="N5" s="1808"/>
      <c r="O5" s="1809"/>
      <c r="P5" s="4283"/>
      <c r="Q5" s="4194"/>
      <c r="R5" s="1604"/>
      <c r="S5" s="1604"/>
    </row>
    <row r="6" spans="1:19" ht="17.25" customHeight="1">
      <c r="A6" s="96" t="s">
        <v>6530</v>
      </c>
      <c r="I6" s="490"/>
      <c r="J6" s="490"/>
      <c r="K6" s="4278" t="s">
        <v>3282</v>
      </c>
      <c r="L6" s="4278"/>
      <c r="M6" s="4278"/>
      <c r="N6" s="4278"/>
      <c r="O6" s="4279"/>
      <c r="P6" s="4273"/>
      <c r="Q6" s="4274"/>
      <c r="R6" s="1604"/>
      <c r="S6" s="1604"/>
    </row>
    <row r="7" spans="1:19" ht="12.6" customHeight="1">
      <c r="A7" s="97" t="s">
        <v>3066</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1883</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1872</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1873</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1874</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1875</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1876</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1877</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1878</v>
      </c>
      <c r="B21" s="4255"/>
      <c r="C21" s="4255"/>
      <c r="D21" s="4255"/>
      <c r="E21" s="4255"/>
      <c r="F21" s="4255"/>
      <c r="G21" s="4255"/>
      <c r="H21" s="4255"/>
      <c r="I21" s="4255"/>
      <c r="J21" s="4255"/>
      <c r="K21" s="4255"/>
      <c r="L21" s="4255"/>
      <c r="M21" s="4255"/>
      <c r="N21" s="4255"/>
      <c r="O21" s="4255"/>
      <c r="P21" s="4255"/>
      <c r="Q21" s="4256"/>
    </row>
    <row r="22" spans="1:31" ht="11.25" customHeight="1">
      <c r="A22" s="4254" t="s">
        <v>1879</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1880</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1881</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1882</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6634</v>
      </c>
      <c r="C27" s="100"/>
      <c r="D27" s="66"/>
      <c r="E27" s="66"/>
      <c r="F27" s="66"/>
      <c r="G27" s="66"/>
      <c r="I27" s="891"/>
      <c r="J27" s="891"/>
      <c r="K27" s="891"/>
      <c r="L27" s="686"/>
      <c r="M27" s="686"/>
      <c r="O27" s="101" t="s">
        <v>1731</v>
      </c>
      <c r="P27" s="4216"/>
      <c r="Q27" s="4205"/>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6"/>
      <c r="Q34" s="4205"/>
    </row>
    <row r="35" spans="1:31" ht="12.75" customHeight="1">
      <c r="A35" s="2"/>
      <c r="B35" s="108" t="s">
        <v>6642</v>
      </c>
      <c r="C35" s="4"/>
      <c r="D35" s="4"/>
      <c r="E35" s="887"/>
      <c r="F35" s="887"/>
      <c r="H35" s="887"/>
      <c r="J35" s="3060" t="s">
        <v>6466</v>
      </c>
      <c r="K35" s="3061"/>
      <c r="L35" s="3062"/>
      <c r="M35" s="147" t="s">
        <v>1647</v>
      </c>
      <c r="N35" s="4369"/>
      <c r="O35" s="4370"/>
      <c r="P35" s="4370"/>
      <c r="Q35" s="4371"/>
    </row>
    <row r="36" spans="1:31" ht="12.75" customHeight="1">
      <c r="A36" s="2"/>
      <c r="B36" s="108" t="s">
        <v>6641</v>
      </c>
      <c r="C36" s="4"/>
      <c r="D36" s="4"/>
      <c r="E36" s="887"/>
      <c r="F36" s="887"/>
      <c r="G36" s="1664"/>
      <c r="H36" s="887"/>
      <c r="J36" s="3060" t="s">
        <v>6467</v>
      </c>
      <c r="K36" s="3061"/>
      <c r="L36" s="3062"/>
      <c r="M36" s="147" t="s">
        <v>1647</v>
      </c>
      <c r="N36" s="4369"/>
      <c r="O36" s="4370"/>
      <c r="P36" s="4370"/>
      <c r="Q36" s="4371"/>
    </row>
    <row r="37" spans="1:31" ht="12.75" customHeight="1">
      <c r="B37" s="73" t="s">
        <v>3241</v>
      </c>
      <c r="D37" s="73"/>
      <c r="E37" s="73"/>
      <c r="F37" s="73"/>
      <c r="G37" s="73"/>
      <c r="H37" s="33"/>
      <c r="I37" s="891"/>
      <c r="J37" s="891"/>
      <c r="K37" s="1770" t="s">
        <v>1730</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3790</v>
      </c>
      <c r="M40" s="1319" t="s">
        <v>3791</v>
      </c>
      <c r="O40" s="101" t="s">
        <v>1731</v>
      </c>
      <c r="P40" s="4216"/>
      <c r="Q40" s="4205"/>
    </row>
    <row r="41" spans="1:31" ht="1.5" customHeight="1"/>
    <row r="42" spans="1:31" ht="12" customHeight="1">
      <c r="A42" s="110" t="s">
        <v>1841</v>
      </c>
      <c r="B42" s="4198" t="s">
        <v>3785</v>
      </c>
      <c r="C42" s="4198"/>
      <c r="D42" s="4198"/>
      <c r="E42" s="4198"/>
      <c r="F42" s="4198"/>
      <c r="G42" s="4198"/>
      <c r="H42" s="4198"/>
      <c r="I42" s="4198"/>
      <c r="J42" s="4198"/>
      <c r="K42" s="115"/>
      <c r="L42" s="347" t="s">
        <v>2580</v>
      </c>
      <c r="M42" s="1203">
        <v>2</v>
      </c>
      <c r="N42" s="108" t="s">
        <v>4022</v>
      </c>
      <c r="P42" s="4238"/>
      <c r="Q42" s="4250"/>
    </row>
    <row r="43" spans="1:31" ht="12" customHeight="1">
      <c r="A43" s="110"/>
      <c r="B43" s="4198"/>
      <c r="C43" s="4198"/>
      <c r="D43" s="4198"/>
      <c r="E43" s="4198"/>
      <c r="F43" s="4198"/>
      <c r="G43" s="4198"/>
      <c r="H43" s="4198"/>
      <c r="I43" s="4198"/>
      <c r="J43" s="4198"/>
      <c r="K43" s="115"/>
      <c r="L43" s="347" t="s">
        <v>3789</v>
      </c>
      <c r="M43" s="1204">
        <v>4</v>
      </c>
      <c r="O43" s="111"/>
      <c r="P43" s="4239"/>
      <c r="Q43" s="4251"/>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61"/>
      <c r="M50" s="4262"/>
      <c r="N50" s="4262"/>
      <c r="O50" s="4262"/>
      <c r="P50" s="4262"/>
      <c r="Q50" s="4263"/>
    </row>
    <row r="51" spans="1:31" ht="12.75" customHeight="1">
      <c r="A51" s="112"/>
      <c r="B51" s="372" t="s">
        <v>1448</v>
      </c>
      <c r="C51" s="4198" t="s">
        <v>3795</v>
      </c>
      <c r="D51" s="4198"/>
      <c r="E51" s="4198"/>
      <c r="F51" s="4198"/>
      <c r="G51" s="4198"/>
      <c r="H51" s="4198"/>
      <c r="I51" s="4198"/>
      <c r="J51" s="4198"/>
      <c r="K51" s="4198"/>
      <c r="L51" s="4198"/>
      <c r="M51" s="413"/>
      <c r="N51" s="108" t="s">
        <v>4027</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4020</v>
      </c>
      <c r="C56" s="2"/>
      <c r="D56" s="887"/>
      <c r="E56" s="887"/>
      <c r="F56" s="887"/>
      <c r="G56" s="887"/>
      <c r="H56" s="1326" t="str">
        <f>'Part I-Project Identification'!$K$28</f>
        <v>Urban</v>
      </c>
      <c r="J56" s="1810" t="s">
        <v>6635</v>
      </c>
      <c r="K56" s="430" t="str">
        <f>'Part VIII Scoring Criteria OLD'!$M$60</f>
        <v>&lt;&lt; Select Pool &gt;&gt;</v>
      </c>
      <c r="L56" s="1810" t="s">
        <v>3822</v>
      </c>
      <c r="M56" s="867" t="str">
        <f>J35</f>
        <v>&lt;&lt; Select PROPOSED Tenancy &gt;&gt;</v>
      </c>
      <c r="O56" s="101" t="s">
        <v>1731</v>
      </c>
      <c r="P56" s="4216"/>
      <c r="Q56" s="4205"/>
    </row>
    <row r="57" spans="1:31" ht="3" customHeight="1"/>
    <row r="58" spans="1:31" ht="12.75" customHeight="1">
      <c r="A58" s="40" t="s">
        <v>1841</v>
      </c>
      <c r="B58" s="32" t="s">
        <v>2264</v>
      </c>
      <c r="D58" s="103"/>
      <c r="E58" s="103"/>
      <c r="F58" s="103"/>
      <c r="G58" s="103"/>
      <c r="H58" s="103"/>
      <c r="I58" s="35"/>
      <c r="J58" s="35"/>
      <c r="K58" s="35"/>
      <c r="L58" s="48" t="s">
        <v>1841</v>
      </c>
      <c r="M58" s="4292"/>
      <c r="N58" s="4293"/>
      <c r="O58" s="4293"/>
      <c r="P58" s="4294"/>
      <c r="Q58" s="419"/>
    </row>
    <row r="59" spans="1:31" ht="12.75" customHeight="1">
      <c r="A59" s="40" t="s">
        <v>1843</v>
      </c>
      <c r="B59" s="29" t="s">
        <v>3947</v>
      </c>
      <c r="D59" s="103"/>
      <c r="E59" s="103"/>
      <c r="F59" s="103"/>
      <c r="L59" s="48" t="s">
        <v>1843</v>
      </c>
      <c r="M59" s="4235"/>
      <c r="N59" s="4236"/>
      <c r="O59" s="4236"/>
      <c r="P59" s="3293"/>
      <c r="Q59" s="420"/>
    </row>
    <row r="60" spans="1:31" ht="12.75" customHeight="1">
      <c r="A60" s="40" t="s">
        <v>698</v>
      </c>
      <c r="B60" s="29" t="s">
        <v>2557</v>
      </c>
      <c r="D60" s="103"/>
      <c r="E60" s="103"/>
      <c r="F60" s="103"/>
      <c r="L60" s="48" t="s">
        <v>698</v>
      </c>
      <c r="M60" s="4231"/>
      <c r="N60" s="4232"/>
      <c r="O60" s="4232"/>
      <c r="P60" s="4233"/>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3004</v>
      </c>
      <c r="B69" s="29" t="s">
        <v>6108</v>
      </c>
      <c r="D69" s="103"/>
      <c r="E69" s="103"/>
      <c r="F69" s="103"/>
      <c r="G69" s="103"/>
      <c r="H69" s="103"/>
      <c r="I69" s="35"/>
      <c r="J69" s="35"/>
      <c r="K69" s="103"/>
      <c r="L69" s="889"/>
      <c r="M69" s="889"/>
      <c r="O69" s="48" t="s">
        <v>3004</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2423</v>
      </c>
      <c r="C74" s="2"/>
      <c r="D74" s="887"/>
      <c r="E74" s="887"/>
      <c r="F74" s="887"/>
      <c r="G74" s="887"/>
      <c r="H74" s="887"/>
      <c r="I74" s="887"/>
      <c r="J74" s="887"/>
      <c r="K74" s="887"/>
      <c r="L74" s="887"/>
      <c r="M74" s="887"/>
      <c r="O74" s="101" t="s">
        <v>1731</v>
      </c>
      <c r="P74" s="4216"/>
      <c r="Q74" s="4205"/>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8" t="s">
        <v>3950</v>
      </c>
      <c r="D84" s="4198"/>
      <c r="E84" s="4198"/>
      <c r="F84" s="4198"/>
      <c r="G84" s="4198"/>
      <c r="H84" s="4198"/>
      <c r="I84" s="4198"/>
      <c r="J84" s="4198"/>
      <c r="K84" s="4198"/>
      <c r="L84" s="4198"/>
      <c r="M84" s="4198"/>
      <c r="N84" s="4198"/>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2424</v>
      </c>
      <c r="C92" s="33"/>
      <c r="D92" s="887"/>
      <c r="E92" s="887"/>
      <c r="F92" s="887"/>
      <c r="G92" s="887"/>
      <c r="H92" s="887"/>
      <c r="I92" s="887"/>
      <c r="J92" s="887"/>
      <c r="K92" s="887"/>
      <c r="L92" s="887"/>
      <c r="M92" s="887"/>
      <c r="N92" s="858" t="s">
        <v>6533</v>
      </c>
      <c r="O92" s="101" t="s">
        <v>1731</v>
      </c>
      <c r="P92" s="4216"/>
      <c r="Q92" s="4205"/>
      <c r="R92" s="860" t="s">
        <v>6520</v>
      </c>
    </row>
    <row r="93" spans="1:31" ht="6.6" customHeight="1"/>
    <row r="94" spans="1:31">
      <c r="A94" s="40" t="s">
        <v>1841</v>
      </c>
      <c r="B94" s="29" t="s">
        <v>6187</v>
      </c>
      <c r="D94" s="103"/>
      <c r="E94" s="103"/>
      <c r="F94" s="103"/>
      <c r="G94" s="103"/>
      <c r="H94" s="103"/>
      <c r="I94" s="35"/>
      <c r="J94" s="35"/>
      <c r="K94" s="48" t="s">
        <v>1841</v>
      </c>
      <c r="L94" s="4348"/>
      <c r="M94" s="4348"/>
      <c r="N94" s="4348"/>
      <c r="O94" s="4348"/>
      <c r="P94" s="4349"/>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2"/>
      <c r="M99" s="4252"/>
      <c r="N99" s="4252"/>
      <c r="O99" s="4252"/>
      <c r="P99" s="4253"/>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4"/>
      <c r="Q105" s="1865"/>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4"/>
      <c r="Q108" s="1865"/>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2500</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2501</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8" t="s">
        <v>141</v>
      </c>
      <c r="C123" s="4198"/>
      <c r="D123" s="4198"/>
      <c r="E123" s="4198"/>
      <c r="F123" s="4198"/>
      <c r="G123" s="4198"/>
      <c r="H123" s="4198"/>
      <c r="I123" s="4198"/>
      <c r="J123" s="4198"/>
      <c r="K123" s="4198"/>
      <c r="L123" s="4198"/>
      <c r="M123" s="128" t="s">
        <v>1808</v>
      </c>
      <c r="N123" s="4212" t="s">
        <v>1646</v>
      </c>
      <c r="O123" s="4213"/>
      <c r="P123" s="4214" t="s">
        <v>1646</v>
      </c>
      <c r="Q123" s="4215"/>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6533</v>
      </c>
      <c r="O130" s="101" t="s">
        <v>1731</v>
      </c>
      <c r="P130" s="4216"/>
      <c r="Q130" s="4205"/>
      <c r="R130" s="860" t="s">
        <v>6520</v>
      </c>
    </row>
    <row r="131" spans="1:31" ht="12" customHeight="1">
      <c r="A131" s="40" t="s">
        <v>1841</v>
      </c>
      <c r="B131" s="113" t="s">
        <v>1614</v>
      </c>
      <c r="C131" s="29" t="s">
        <v>6535</v>
      </c>
      <c r="D131" s="29"/>
      <c r="E131" s="29"/>
      <c r="F131" s="29"/>
      <c r="G131" s="29"/>
      <c r="K131" s="29" t="s">
        <v>2460</v>
      </c>
      <c r="M131" s="4240"/>
      <c r="N131" s="4241"/>
      <c r="O131" s="49" t="s">
        <v>1614</v>
      </c>
      <c r="P131" s="74"/>
      <c r="Q131" s="417"/>
    </row>
    <row r="132" spans="1:31" ht="12" customHeight="1">
      <c r="A132" s="40"/>
      <c r="B132" s="113" t="s">
        <v>1615</v>
      </c>
      <c r="C132" s="29" t="s">
        <v>4056</v>
      </c>
      <c r="D132" s="29"/>
      <c r="E132" s="29"/>
      <c r="F132" s="29"/>
      <c r="G132" s="29"/>
      <c r="K132" s="29" t="s">
        <v>2460</v>
      </c>
      <c r="M132" s="4240"/>
      <c r="N132" s="4241"/>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8" t="s">
        <v>6841</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1962</v>
      </c>
      <c r="B135" s="4198" t="s">
        <v>6193</v>
      </c>
      <c r="C135" s="4198"/>
      <c r="D135" s="4198"/>
      <c r="E135" s="4198"/>
      <c r="F135" s="4198"/>
      <c r="G135" s="4198"/>
      <c r="H135" s="4198"/>
      <c r="I135" s="4198"/>
      <c r="J135" s="4198"/>
      <c r="K135" s="4198"/>
      <c r="L135" s="4198"/>
      <c r="M135" s="4198"/>
      <c r="N135" s="4198"/>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6"/>
      <c r="Q141" s="4205"/>
    </row>
    <row r="142" spans="1:31" ht="21.75" customHeight="1">
      <c r="A142" s="110" t="s">
        <v>1841</v>
      </c>
      <c r="B142" s="4198" t="s">
        <v>3234</v>
      </c>
      <c r="C142" s="4198"/>
      <c r="D142" s="4198"/>
      <c r="E142" s="4198"/>
      <c r="F142" s="4198"/>
      <c r="G142" s="4198"/>
      <c r="H142" s="4198"/>
      <c r="I142" s="4198"/>
      <c r="J142" s="4198"/>
      <c r="K142" s="4198"/>
      <c r="L142" s="4198"/>
      <c r="M142" s="4198"/>
      <c r="N142" s="4198"/>
      <c r="O142" s="128" t="s">
        <v>1841</v>
      </c>
      <c r="P142" s="894"/>
      <c r="Q142" s="893"/>
    </row>
    <row r="143" spans="1:31" ht="22.35" customHeight="1">
      <c r="A143" s="110" t="s">
        <v>1843</v>
      </c>
      <c r="B143" s="4198" t="s">
        <v>3800</v>
      </c>
      <c r="C143" s="4198"/>
      <c r="D143" s="4198"/>
      <c r="E143" s="4198"/>
      <c r="F143" s="4198"/>
      <c r="G143" s="4198"/>
      <c r="H143" s="4198"/>
      <c r="I143" s="4198"/>
      <c r="J143" s="4198"/>
      <c r="K143" s="4198"/>
      <c r="L143" s="4198"/>
      <c r="M143" s="4198"/>
      <c r="N143" s="4198"/>
      <c r="O143" s="128" t="s">
        <v>1843</v>
      </c>
      <c r="P143" s="431"/>
      <c r="Q143" s="422"/>
    </row>
    <row r="144" spans="1:31" ht="22.35" customHeight="1">
      <c r="A144" s="110" t="s">
        <v>698</v>
      </c>
      <c r="B144" s="4198" t="s">
        <v>3235</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1962</v>
      </c>
      <c r="B145" s="4198" t="s">
        <v>3833</v>
      </c>
      <c r="C145" s="4198"/>
      <c r="D145" s="4198"/>
      <c r="E145" s="4198"/>
      <c r="F145" s="4198"/>
      <c r="G145" s="4198"/>
      <c r="H145" s="4198"/>
      <c r="I145" s="4198"/>
      <c r="J145" s="4198"/>
      <c r="K145" s="4198"/>
      <c r="L145" s="4198"/>
      <c r="M145" s="4198"/>
      <c r="N145" s="4198"/>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6533</v>
      </c>
      <c r="O151" s="101" t="s">
        <v>1731</v>
      </c>
      <c r="P151" s="4216"/>
      <c r="Q151" s="4205"/>
      <c r="R151" s="860" t="s">
        <v>6520</v>
      </c>
    </row>
    <row r="152" spans="1:44" customFormat="1" ht="11.65"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8" t="s">
        <v>3236</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8" t="s">
        <v>2420</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3307</v>
      </c>
      <c r="D161" s="4198"/>
      <c r="E161" s="4198"/>
      <c r="F161" s="4198"/>
      <c r="G161" s="4198"/>
      <c r="H161" s="4198"/>
      <c r="I161" s="4198"/>
      <c r="J161" s="4198"/>
      <c r="K161" s="4198"/>
      <c r="L161" s="4198"/>
      <c r="M161" s="4198"/>
      <c r="N161" s="4198"/>
      <c r="O161" s="128" t="s">
        <v>1449</v>
      </c>
      <c r="P161" s="431"/>
      <c r="Q161" s="422"/>
    </row>
    <row r="162" spans="1:44" ht="21.75" customHeight="1">
      <c r="A162" s="110" t="s">
        <v>1962</v>
      </c>
      <c r="B162" s="4198" t="s">
        <v>2421</v>
      </c>
      <c r="C162" s="4198"/>
      <c r="D162" s="4198"/>
      <c r="E162" s="4198"/>
      <c r="F162" s="4198"/>
      <c r="G162" s="4198"/>
      <c r="H162" s="4198"/>
      <c r="I162" s="4198"/>
      <c r="J162" s="4198"/>
      <c r="K162" s="4198"/>
      <c r="L162" s="4198"/>
      <c r="M162" s="4198"/>
      <c r="N162" s="4198"/>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6533</v>
      </c>
      <c r="O169" s="101" t="s">
        <v>1731</v>
      </c>
      <c r="P169" s="4216"/>
      <c r="Q169" s="4205"/>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1710</v>
      </c>
      <c r="K171" s="4293"/>
      <c r="L171" s="4293"/>
      <c r="M171" s="4293"/>
      <c r="N171" s="4300"/>
      <c r="O171" s="49" t="s">
        <v>1614</v>
      </c>
      <c r="P171" s="175"/>
      <c r="Q171" s="419"/>
    </row>
    <row r="172" spans="1:44" ht="12.75" customHeight="1">
      <c r="A172" s="107"/>
      <c r="B172" s="109" t="s">
        <v>3241</v>
      </c>
      <c r="C172" s="82"/>
      <c r="D172" s="82"/>
      <c r="E172" s="82"/>
      <c r="F172" s="82"/>
      <c r="H172" s="49" t="s">
        <v>1615</v>
      </c>
      <c r="I172" s="29" t="s">
        <v>1491</v>
      </c>
      <c r="J172" s="4206" t="s">
        <v>1710</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6533</v>
      </c>
      <c r="O177" s="101" t="s">
        <v>1731</v>
      </c>
      <c r="P177" s="4216"/>
      <c r="Q177" s="4205"/>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8" t="s">
        <v>1713</v>
      </c>
      <c r="C179" s="4198"/>
      <c r="D179" s="4198"/>
      <c r="E179" s="4198"/>
      <c r="F179" s="4198"/>
      <c r="G179" s="4198"/>
      <c r="H179" s="49" t="s">
        <v>1614</v>
      </c>
      <c r="I179" s="29" t="s">
        <v>592</v>
      </c>
      <c r="J179" s="4292" t="s">
        <v>1710</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1710</v>
      </c>
      <c r="K180" s="4207"/>
      <c r="L180" s="4207"/>
      <c r="M180" s="4207"/>
      <c r="N180" s="4208"/>
      <c r="O180" s="128" t="s">
        <v>1615</v>
      </c>
      <c r="P180" s="1759"/>
      <c r="Q180" s="687"/>
    </row>
    <row r="181" spans="1:44" ht="12.75" customHeight="1">
      <c r="A181" s="40" t="s">
        <v>1843</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4029</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6194</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3152</v>
      </c>
      <c r="O197" s="1233">
        <f>'Part V-Revenues &amp; Expenses'!$P$67</f>
        <v>135</v>
      </c>
      <c r="P197" s="4225" t="s">
        <v>3856</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7" t="s">
        <v>950</v>
      </c>
      <c r="D199" s="4228"/>
      <c r="E199" s="4228"/>
      <c r="F199" s="4228"/>
      <c r="G199" s="4229"/>
      <c r="H199" s="48" t="s">
        <v>1963</v>
      </c>
      <c r="I199" s="4202" t="s">
        <v>3402</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7" t="s">
        <v>950</v>
      </c>
      <c r="D200" s="4218"/>
      <c r="E200" s="4218"/>
      <c r="F200" s="4218"/>
      <c r="G200" s="4219"/>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3402</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247" t="s">
        <v>950</v>
      </c>
      <c r="D202" s="4248"/>
      <c r="E202" s="4248"/>
      <c r="F202" s="4248"/>
      <c r="G202" s="4249"/>
      <c r="H202" s="48" t="s">
        <v>3866</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6745</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6114</v>
      </c>
      <c r="C217" s="33"/>
      <c r="D217" s="887"/>
      <c r="E217" s="887"/>
      <c r="F217" s="887"/>
      <c r="G217" s="887"/>
      <c r="H217" s="887"/>
      <c r="I217" s="887"/>
      <c r="J217" s="887"/>
      <c r="K217" s="396" t="s">
        <v>6741</v>
      </c>
      <c r="L217" s="1326" t="str">
        <f>'Part I-Project Identification'!$P$25</f>
        <v>Yes</v>
      </c>
      <c r="M217" s="887"/>
      <c r="O217" s="101" t="s">
        <v>1731</v>
      </c>
      <c r="P217" s="4216"/>
      <c r="Q217" s="4205"/>
    </row>
    <row r="218" spans="1:44" ht="11.25" customHeight="1">
      <c r="A218" s="110" t="s">
        <v>1841</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6120</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8" t="s">
        <v>6116</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3952</v>
      </c>
      <c r="C236" s="4"/>
      <c r="D236" s="66"/>
      <c r="E236" s="66"/>
      <c r="F236" s="66"/>
      <c r="G236" s="66"/>
      <c r="H236" s="887"/>
      <c r="I236" s="887"/>
      <c r="J236" s="887"/>
      <c r="K236" s="887"/>
      <c r="L236" s="669"/>
      <c r="M236" s="1262"/>
      <c r="O236" s="101" t="s">
        <v>1731</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6196</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6207</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8" t="s">
        <v>6208</v>
      </c>
      <c r="D244" s="4198"/>
      <c r="E244" s="4198"/>
      <c r="F244" s="4198"/>
      <c r="G244" s="4198"/>
      <c r="H244" s="4198"/>
      <c r="I244" s="4198"/>
      <c r="J244" s="4198"/>
      <c r="K244" s="4198"/>
      <c r="L244" s="4198"/>
      <c r="M244" s="4198"/>
      <c r="N244" s="4198"/>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3246</v>
      </c>
      <c r="C246" s="4358"/>
      <c r="D246" s="4358"/>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6503</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3371</v>
      </c>
      <c r="B256" s="4" t="s">
        <v>2431</v>
      </c>
      <c r="C256" s="4"/>
      <c r="D256" s="66"/>
      <c r="E256" s="66"/>
      <c r="F256" s="66"/>
      <c r="G256" s="66"/>
      <c r="H256" s="887"/>
      <c r="I256" s="887"/>
      <c r="J256" s="887"/>
      <c r="K256" s="887"/>
      <c r="L256" s="887"/>
      <c r="M256" s="887"/>
      <c r="O256" s="101" t="s">
        <v>1731</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8" t="s">
        <v>4031</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3244</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4057</v>
      </c>
      <c r="D260" s="4198"/>
      <c r="E260" s="4198"/>
      <c r="F260" s="4198"/>
      <c r="G260" s="4198"/>
      <c r="H260" s="4198"/>
      <c r="I260" s="4198"/>
      <c r="J260" s="4198"/>
      <c r="K260" s="4198"/>
      <c r="L260" s="4198"/>
      <c r="M260" s="4198"/>
      <c r="N260" s="4198"/>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8" t="s">
        <v>6121</v>
      </c>
      <c r="C262" s="4198"/>
      <c r="D262" s="4198"/>
      <c r="E262" s="4198"/>
      <c r="F262" s="4198"/>
      <c r="G262" s="4198"/>
      <c r="H262" s="4198"/>
      <c r="I262" s="4198"/>
      <c r="J262" s="4198"/>
      <c r="K262" s="4198"/>
      <c r="L262" s="4198"/>
      <c r="M262" s="4198"/>
      <c r="N262" s="4198"/>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3372</v>
      </c>
      <c r="B268" s="2" t="s">
        <v>2432</v>
      </c>
      <c r="C268" s="2"/>
      <c r="D268" s="887"/>
      <c r="E268" s="887"/>
      <c r="F268" s="887"/>
      <c r="G268" s="887"/>
      <c r="H268" s="887"/>
      <c r="I268" s="887"/>
      <c r="J268" s="887"/>
      <c r="K268" s="887"/>
      <c r="L268" s="887"/>
      <c r="M268" s="887"/>
      <c r="O268" s="101" t="s">
        <v>1731</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6199</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3848</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2507</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59" t="s">
        <v>3338</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3370</v>
      </c>
      <c r="B281" s="2" t="s">
        <v>2433</v>
      </c>
      <c r="C281" s="116"/>
      <c r="D281" s="890"/>
      <c r="E281" s="887"/>
      <c r="F281" s="887"/>
      <c r="G281" s="887"/>
      <c r="H281" s="887"/>
      <c r="I281" s="887"/>
      <c r="J281" s="887"/>
      <c r="K281" s="887"/>
      <c r="L281" s="887"/>
      <c r="M281" s="887"/>
      <c r="O281" s="101" t="s">
        <v>1731</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6657</v>
      </c>
      <c r="D284" s="4198"/>
      <c r="E284" s="4198"/>
      <c r="F284" s="4198"/>
      <c r="G284" s="4198"/>
      <c r="H284" s="4198"/>
      <c r="I284" s="4198"/>
      <c r="J284" s="4198"/>
      <c r="K284" s="4198"/>
      <c r="L284" s="4198"/>
      <c r="M284" s="4198"/>
      <c r="N284" s="4198"/>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6658</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6202</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8" t="s">
        <v>6205</v>
      </c>
      <c r="E288" s="4198"/>
      <c r="F288" s="4198"/>
      <c r="G288" s="4198"/>
      <c r="H288" s="4198"/>
      <c r="I288" s="108"/>
      <c r="J288" s="4257" t="s">
        <v>3267</v>
      </c>
      <c r="K288" s="4225"/>
      <c r="L288" s="4225"/>
      <c r="M288" s="4270" t="s">
        <v>3248</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3388</v>
      </c>
      <c r="K290" s="1595"/>
      <c r="L290" s="795" t="str">
        <f>IF(K290&lt;M290,"Check!!!","")</f>
        <v>Check!!!</v>
      </c>
      <c r="M290" s="1597">
        <f>ROUNDUP('Part V-Revenues &amp; Expenses'!$P$67*'Part VII-Threshold Criteria OLD'!N290,0)</f>
        <v>7</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8" t="s">
        <v>6206</v>
      </c>
      <c r="E291" s="4198"/>
      <c r="F291" s="4198"/>
      <c r="G291" s="4198"/>
      <c r="H291" s="4198"/>
      <c r="I291" s="370" t="s">
        <v>3389</v>
      </c>
      <c r="J291" s="144"/>
      <c r="K291" s="1596"/>
      <c r="L291" s="795" t="str">
        <f>IF(K291&lt;M291,"Check!!!","")</f>
        <v/>
      </c>
      <c r="M291" s="1598">
        <f>ROUNDUP(K290*'Part VII-Threshold Criteria OLD'!N291,0)</f>
        <v>0</v>
      </c>
      <c r="N291" s="1205">
        <f>'DCA Underwriting Assumptions'!$Q$123</f>
        <v>0.4</v>
      </c>
      <c r="O291" s="48" t="s">
        <v>1964</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6742</v>
      </c>
      <c r="D293" s="4198"/>
      <c r="E293" s="4198"/>
      <c r="F293" s="4198"/>
      <c r="G293" s="4198"/>
      <c r="H293" s="4198"/>
      <c r="I293" s="29" t="s">
        <v>3390</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6720</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3247</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6659</v>
      </c>
      <c r="D299" s="4198"/>
      <c r="E299" s="4198"/>
      <c r="F299" s="4198"/>
      <c r="G299" s="4198"/>
      <c r="H299" s="4198"/>
      <c r="I299" s="4198"/>
      <c r="J299" s="4198"/>
      <c r="K299" s="4198"/>
      <c r="L299" s="4198"/>
      <c r="M299" s="4198"/>
      <c r="N299" s="4198"/>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3834</v>
      </c>
      <c r="D300" s="4198"/>
      <c r="E300" s="4198"/>
      <c r="F300" s="4198"/>
      <c r="G300" s="4198"/>
      <c r="H300" s="4198"/>
      <c r="I300" s="4198"/>
      <c r="J300" s="4198"/>
      <c r="K300" s="4198"/>
      <c r="L300" s="4198"/>
      <c r="M300" s="4198"/>
      <c r="N300" s="4198"/>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3169</v>
      </c>
      <c r="D301" s="4198"/>
      <c r="E301" s="4198"/>
      <c r="F301" s="4198"/>
      <c r="G301" s="4198"/>
      <c r="H301" s="4198"/>
      <c r="I301" s="4198"/>
      <c r="J301" s="4198"/>
      <c r="K301" s="4198"/>
      <c r="L301" s="4198"/>
      <c r="M301" s="4198"/>
      <c r="N301" s="4198"/>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8" t="s">
        <v>3170</v>
      </c>
      <c r="D302" s="4198"/>
      <c r="E302" s="4198"/>
      <c r="F302" s="4198"/>
      <c r="G302" s="4198"/>
      <c r="H302" s="4198"/>
      <c r="I302" s="4198"/>
      <c r="J302" s="4198"/>
      <c r="K302" s="4198"/>
      <c r="L302" s="4198"/>
      <c r="M302" s="4198"/>
      <c r="N302" s="4198"/>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3373</v>
      </c>
      <c r="B307" s="4" t="s">
        <v>2434</v>
      </c>
      <c r="C307" s="4"/>
      <c r="D307" s="4"/>
      <c r="E307" s="4"/>
      <c r="F307" s="4"/>
      <c r="G307" s="4"/>
      <c r="H307" s="887"/>
      <c r="I307" s="887"/>
      <c r="J307" s="887"/>
      <c r="K307" s="887"/>
      <c r="L307" s="887"/>
      <c r="M307" s="887"/>
      <c r="O307" s="101" t="s">
        <v>1731</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3788</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6669</v>
      </c>
      <c r="C312" s="4198"/>
      <c r="D312" s="4198"/>
      <c r="E312" s="4198"/>
      <c r="F312" s="4198"/>
      <c r="G312" s="4198"/>
      <c r="H312" s="4198"/>
      <c r="I312" s="4198"/>
      <c r="J312" s="4198"/>
      <c r="K312" s="4198"/>
      <c r="L312" s="4198"/>
      <c r="M312" s="4198"/>
      <c r="N312" s="4198"/>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2147</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357" t="s">
        <v>6123</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0"/>
      <c r="D318" s="4321"/>
      <c r="E318" s="4321"/>
      <c r="F318" s="4321"/>
      <c r="G318" s="4321"/>
      <c r="H318" s="4321"/>
      <c r="I318" s="4321"/>
      <c r="J318" s="4321"/>
      <c r="K318" s="4321"/>
      <c r="L318" s="4321"/>
      <c r="M318" s="4321"/>
      <c r="N318" s="4322"/>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7"/>
      <c r="D319" s="4248"/>
      <c r="E319" s="4248"/>
      <c r="F319" s="4248"/>
      <c r="G319" s="4248"/>
      <c r="H319" s="4248"/>
      <c r="I319" s="4248"/>
      <c r="J319" s="4248"/>
      <c r="K319" s="4248"/>
      <c r="L319" s="4248"/>
      <c r="M319" s="4248"/>
      <c r="N319" s="4249"/>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8" t="s">
        <v>6124</v>
      </c>
      <c r="C320" s="4198"/>
      <c r="D320" s="4198"/>
      <c r="E320" s="4198"/>
      <c r="F320" s="4198"/>
      <c r="G320" s="4198"/>
      <c r="H320" s="4198"/>
      <c r="I320" s="4198"/>
      <c r="J320" s="4198"/>
      <c r="K320" s="4198"/>
      <c r="L320" s="4198"/>
      <c r="M320" s="4198"/>
      <c r="N320" s="4198"/>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3374</v>
      </c>
      <c r="B326" s="153" t="s">
        <v>6534</v>
      </c>
      <c r="C326" s="2"/>
      <c r="D326" s="887"/>
      <c r="E326" s="887"/>
      <c r="F326" s="887"/>
      <c r="G326" s="887"/>
      <c r="H326" s="887"/>
      <c r="N326" s="858" t="s">
        <v>6533</v>
      </c>
      <c r="O326" s="101" t="s">
        <v>1731</v>
      </c>
      <c r="P326" s="4216"/>
      <c r="Q326" s="4205"/>
      <c r="R326" s="860" t="s">
        <v>6520</v>
      </c>
    </row>
    <row r="327" spans="1:256" ht="11.65" customHeight="1">
      <c r="A327" s="40" t="s">
        <v>1841</v>
      </c>
      <c r="B327" s="44" t="s">
        <v>6529</v>
      </c>
      <c r="O327" s="128" t="s">
        <v>1841</v>
      </c>
      <c r="P327" s="175"/>
      <c r="Q327" s="419"/>
    </row>
    <row r="328" spans="1:256" ht="11.65" customHeight="1">
      <c r="A328" s="110" t="s">
        <v>1843</v>
      </c>
      <c r="B328" s="44" t="s">
        <v>6536</v>
      </c>
      <c r="O328" s="128" t="s">
        <v>1843</v>
      </c>
      <c r="P328" s="1759"/>
      <c r="Q328" s="687"/>
    </row>
    <row r="329" spans="1:256" ht="11.65" customHeight="1">
      <c r="A329" s="110" t="s">
        <v>698</v>
      </c>
      <c r="B329" s="44" t="s">
        <v>6537</v>
      </c>
      <c r="K329" s="231"/>
      <c r="M329" s="128" t="s">
        <v>698</v>
      </c>
      <c r="N329" s="4316" t="s">
        <v>1646</v>
      </c>
      <c r="O329" s="4317"/>
      <c r="P329" s="4318" t="s">
        <v>1646</v>
      </c>
      <c r="Q329" s="4319"/>
    </row>
    <row r="330" spans="1:256" ht="11.65" customHeight="1">
      <c r="A330" s="40" t="s">
        <v>1962</v>
      </c>
      <c r="B330" s="44" t="s">
        <v>6538</v>
      </c>
      <c r="O330" s="48" t="s">
        <v>1962</v>
      </c>
      <c r="P330" s="1400"/>
      <c r="Q330" s="1399"/>
    </row>
    <row r="331" spans="1:256" ht="11.65" customHeight="1">
      <c r="A331" s="110" t="s">
        <v>1612</v>
      </c>
      <c r="B331" s="44" t="s">
        <v>6539</v>
      </c>
      <c r="N331" s="128" t="s">
        <v>1612</v>
      </c>
      <c r="O331" s="4310" t="s">
        <v>2559</v>
      </c>
      <c r="P331" s="4311"/>
      <c r="Q331" s="4312"/>
    </row>
    <row r="332" spans="1:256" ht="11.65" customHeight="1">
      <c r="A332" s="110" t="s">
        <v>1613</v>
      </c>
      <c r="B332" s="67" t="s">
        <v>2170</v>
      </c>
      <c r="N332" s="128" t="s">
        <v>1613</v>
      </c>
      <c r="O332" s="4267" t="s">
        <v>2559</v>
      </c>
      <c r="P332" s="4268"/>
      <c r="Q332" s="4269"/>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0"/>
      <c r="Q338" s="4351"/>
    </row>
    <row r="339" spans="1:44" ht="14.1"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198" t="s">
        <v>6687</v>
      </c>
      <c r="C341" s="4198"/>
      <c r="D341" s="4198"/>
      <c r="E341" s="4198"/>
      <c r="F341" s="4198"/>
      <c r="G341" s="4198"/>
      <c r="H341" s="4198"/>
      <c r="I341" s="4198"/>
      <c r="J341" s="4198"/>
      <c r="K341" s="4198"/>
      <c r="L341" s="4198"/>
      <c r="M341" s="4198"/>
      <c r="N341" s="4198"/>
      <c r="O341" s="128" t="s">
        <v>1841</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135</v>
      </c>
      <c r="F343" s="29" t="s">
        <v>3895</v>
      </c>
      <c r="G343" s="1541">
        <f>'Part V-Revenues &amp; Expenses'!$P$100</f>
        <v>135</v>
      </c>
      <c r="H343" s="72"/>
      <c r="I343" s="29" t="s">
        <v>832</v>
      </c>
      <c r="J343" s="72"/>
      <c r="K343" s="72"/>
      <c r="L343" s="1540">
        <f>'Part V-Revenues &amp; Expenses'!$P$111</f>
        <v>0</v>
      </c>
      <c r="M343" s="48" t="s">
        <v>6743</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8" t="s">
        <v>6688</v>
      </c>
      <c r="C344" s="4198"/>
      <c r="D344" s="4198"/>
      <c r="E344" s="4198"/>
      <c r="F344" s="4198"/>
      <c r="G344" s="4198"/>
      <c r="H344" s="4198"/>
      <c r="I344" s="4198"/>
      <c r="J344" s="4198"/>
      <c r="K344" s="4198"/>
      <c r="L344" s="4198"/>
      <c r="M344" s="4198"/>
      <c r="N344" s="4198"/>
      <c r="O344" s="128" t="s">
        <v>1843</v>
      </c>
      <c r="P344" s="905"/>
      <c r="Q344" s="906"/>
    </row>
    <row r="345" spans="1:44" s="115" customFormat="1">
      <c r="A345" s="110"/>
      <c r="B345" s="1220"/>
      <c r="C345" s="29" t="s">
        <v>1667</v>
      </c>
      <c r="D345" s="29"/>
      <c r="E345" s="1540">
        <f>'Part V-Revenues &amp; Expenses'!$P$67</f>
        <v>135</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6689</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135</v>
      </c>
      <c r="F348" s="29" t="s">
        <v>3895</v>
      </c>
      <c r="G348" s="1541">
        <f>'Part V-Revenues &amp; Expenses'!$P$100</f>
        <v>135</v>
      </c>
      <c r="H348" s="72"/>
      <c r="I348" s="29" t="s">
        <v>832</v>
      </c>
      <c r="J348" s="72"/>
      <c r="K348" s="72"/>
      <c r="L348" s="1540">
        <f>'Part V-Revenues &amp; Expenses'!$P$111</f>
        <v>0</v>
      </c>
      <c r="M348" s="48" t="s">
        <v>6743</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4"/>
      <c r="Q354" s="4205"/>
    </row>
    <row r="355" spans="1:31" ht="10.5" customHeight="1">
      <c r="A355" s="40" t="s">
        <v>1841</v>
      </c>
      <c r="B355" s="29" t="s">
        <v>3360</v>
      </c>
      <c r="D355" s="118"/>
      <c r="E355" s="118"/>
      <c r="F355" s="118"/>
      <c r="G355" s="118"/>
      <c r="H355" s="48" t="s">
        <v>1841</v>
      </c>
      <c r="I355" s="4209"/>
      <c r="J355" s="4210"/>
      <c r="K355" s="4210"/>
      <c r="L355" s="4210"/>
      <c r="M355" s="4210"/>
      <c r="N355" s="4210"/>
      <c r="O355" s="4210"/>
      <c r="P355" s="4211"/>
      <c r="Q355" s="419"/>
    </row>
    <row r="356" spans="1:31" ht="10.5" customHeight="1">
      <c r="A356" s="110" t="s">
        <v>1843</v>
      </c>
      <c r="B356" s="29" t="s">
        <v>3361</v>
      </c>
      <c r="D356" s="118"/>
      <c r="E356" s="118"/>
      <c r="F356" s="118"/>
      <c r="G356" s="118"/>
      <c r="H356" s="128" t="s">
        <v>1843</v>
      </c>
      <c r="I356" s="4206"/>
      <c r="J356" s="4207"/>
      <c r="K356" s="4207"/>
      <c r="L356" s="4207"/>
      <c r="M356" s="4207"/>
      <c r="N356" s="4207"/>
      <c r="O356" s="4207"/>
      <c r="P356" s="4208"/>
      <c r="Q356" s="421"/>
    </row>
    <row r="357" spans="1:31" ht="21.75" customHeight="1">
      <c r="A357" s="110" t="s">
        <v>698</v>
      </c>
      <c r="B357" s="4355" t="s">
        <v>3352</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1962</v>
      </c>
      <c r="B358" s="4198" t="s">
        <v>3353</v>
      </c>
      <c r="C358" s="4198"/>
      <c r="D358" s="4198"/>
      <c r="E358" s="4198"/>
      <c r="F358" s="4198"/>
      <c r="G358" s="4198"/>
      <c r="H358" s="4198"/>
      <c r="I358" s="4198"/>
      <c r="J358" s="4198"/>
      <c r="K358" s="4198"/>
      <c r="L358" s="4198"/>
      <c r="M358" s="4198"/>
      <c r="N358" s="4198"/>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3355</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3004</v>
      </c>
      <c r="B363" s="4198" t="s">
        <v>3357</v>
      </c>
      <c r="C363" s="4198"/>
      <c r="D363" s="4198"/>
      <c r="E363" s="4198"/>
      <c r="F363" s="4198"/>
      <c r="G363" s="4198"/>
      <c r="H363" s="4198"/>
      <c r="I363" s="4198"/>
      <c r="J363" s="4198"/>
      <c r="K363" s="4198"/>
      <c r="L363" s="4198"/>
      <c r="M363" s="4198"/>
      <c r="N363" s="4198"/>
      <c r="O363" s="128" t="s">
        <v>3004</v>
      </c>
      <c r="P363" s="894"/>
      <c r="Q363" s="893"/>
    </row>
    <row r="364" spans="1:31" ht="33" customHeight="1">
      <c r="A364" s="110" t="s">
        <v>573</v>
      </c>
      <c r="B364" s="4198" t="s">
        <v>3358</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6"/>
      <c r="Q371" s="4205"/>
    </row>
    <row r="372" spans="1:31" ht="11.65" customHeight="1">
      <c r="A372" s="40" t="s">
        <v>1841</v>
      </c>
      <c r="B372" s="32" t="s">
        <v>970</v>
      </c>
      <c r="E372" s="4330"/>
      <c r="F372" s="4331"/>
      <c r="G372" s="4331"/>
      <c r="H372" s="4331"/>
      <c r="I372" s="4332"/>
      <c r="J372" s="4333" t="s">
        <v>2437</v>
      </c>
      <c r="K372" s="4334"/>
      <c r="L372" s="4335"/>
      <c r="M372" s="4330"/>
      <c r="N372" s="4331"/>
      <c r="O372" s="4331"/>
      <c r="P372" s="4331"/>
      <c r="Q372" s="4332"/>
    </row>
    <row r="373" spans="1:31" s="102" customFormat="1" ht="22.5" customHeight="1">
      <c r="A373" s="110" t="s">
        <v>1843</v>
      </c>
      <c r="B373" s="4198" t="s">
        <v>3081</v>
      </c>
      <c r="C373" s="4198"/>
      <c r="D373" s="4198"/>
      <c r="E373" s="4198"/>
      <c r="F373" s="4198"/>
      <c r="G373" s="4198"/>
      <c r="H373" s="4198"/>
      <c r="I373" s="4198"/>
      <c r="J373" s="4198"/>
      <c r="K373" s="4198"/>
      <c r="L373" s="4198"/>
      <c r="M373" s="4198"/>
      <c r="N373" s="4198"/>
      <c r="O373" s="128" t="s">
        <v>1843</v>
      </c>
      <c r="P373" s="431"/>
      <c r="Q373" s="422"/>
    </row>
    <row r="374" spans="1:31">
      <c r="A374" s="110" t="s">
        <v>698</v>
      </c>
      <c r="B374" s="44" t="s">
        <v>3202</v>
      </c>
      <c r="G374" s="889"/>
      <c r="H374" s="889"/>
      <c r="I374" s="889"/>
      <c r="J374" s="33" t="s">
        <v>3203</v>
      </c>
      <c r="L374" s="889"/>
      <c r="M374" s="4336">
        <f>'Part II-Sources of Funds'!I6</f>
        <v>0</v>
      </c>
      <c r="N374" s="4337"/>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216"/>
      <c r="Q380" s="4326"/>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374"/>
      <c r="I385" s="4375"/>
      <c r="J385" s="4375"/>
      <c r="K385" s="4375"/>
      <c r="L385" s="4375"/>
      <c r="M385" s="4375"/>
      <c r="N385" s="4375"/>
      <c r="O385" s="4376"/>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3940</v>
      </c>
      <c r="C391" s="4"/>
      <c r="D391" s="4"/>
      <c r="E391" s="4"/>
      <c r="F391" s="4"/>
      <c r="G391" s="4"/>
      <c r="H391" s="887"/>
      <c r="I391" s="887"/>
      <c r="J391" s="887"/>
      <c r="K391" s="887"/>
      <c r="L391" s="887"/>
      <c r="M391" s="887"/>
      <c r="O391" s="101" t="s">
        <v>1731</v>
      </c>
      <c r="P391" s="4350"/>
      <c r="Q391" s="4351"/>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298"/>
      <c r="Q395" s="4296"/>
    </row>
    <row r="396" spans="1:31" ht="12" customHeight="1">
      <c r="A396" s="40"/>
      <c r="D396" s="29" t="s">
        <v>6502</v>
      </c>
      <c r="E396" s="29"/>
      <c r="F396" s="29"/>
      <c r="G396" s="29"/>
      <c r="H396" s="29"/>
      <c r="I396" s="29"/>
      <c r="J396" s="29"/>
      <c r="K396" s="29"/>
      <c r="L396" s="29"/>
      <c r="M396" s="29"/>
      <c r="N396" s="35"/>
      <c r="O396" s="1398"/>
      <c r="P396" s="4299"/>
      <c r="Q396" s="4297"/>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8" t="s">
        <v>6152</v>
      </c>
      <c r="D400" s="4198"/>
      <c r="E400" s="4198"/>
      <c r="F400" s="4198"/>
      <c r="G400" s="29" t="s">
        <v>3944</v>
      </c>
      <c r="J400" s="718"/>
      <c r="K400" s="426"/>
      <c r="M400" s="29" t="s">
        <v>6226</v>
      </c>
      <c r="P400" s="1760"/>
      <c r="Q400" s="1761"/>
    </row>
    <row r="401" spans="1:44" ht="12" customHeight="1">
      <c r="A401" s="40"/>
      <c r="C401" s="4198"/>
      <c r="D401" s="4198"/>
      <c r="E401" s="4198"/>
      <c r="F401" s="4198"/>
      <c r="G401" s="29" t="s">
        <v>6225</v>
      </c>
      <c r="J401" s="719"/>
      <c r="K401" s="427"/>
      <c r="M401" s="29" t="s">
        <v>6227</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6182</v>
      </c>
      <c r="J403" s="4257" t="s">
        <v>6183</v>
      </c>
      <c r="K403" s="4257" t="s">
        <v>6185</v>
      </c>
      <c r="L403" s="4257"/>
      <c r="M403" s="4257"/>
      <c r="N403" s="4338" t="s">
        <v>6184</v>
      </c>
      <c r="O403" s="48"/>
      <c r="P403" s="4190" t="s">
        <v>6699</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6296</v>
      </c>
      <c r="D405" s="4198"/>
      <c r="E405" s="4198"/>
      <c r="F405" s="4198"/>
      <c r="G405" s="4198"/>
      <c r="H405" s="4198"/>
      <c r="I405" s="365">
        <f>K290</f>
        <v>0</v>
      </c>
      <c r="J405" s="1762"/>
      <c r="K405" s="4340"/>
      <c r="L405" s="4340"/>
      <c r="M405" s="4341"/>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6297</v>
      </c>
      <c r="D411" s="4198"/>
      <c r="E411" s="4198"/>
      <c r="F411" s="4198"/>
      <c r="G411" s="4198"/>
      <c r="H411" s="4198"/>
      <c r="I411" s="365">
        <f>K293</f>
        <v>0</v>
      </c>
      <c r="J411" s="1762"/>
      <c r="K411" s="4340"/>
      <c r="L411" s="4340"/>
      <c r="M411" s="4341"/>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373" t="s">
        <v>6230</v>
      </c>
      <c r="E416" s="352" t="s">
        <v>2263</v>
      </c>
      <c r="F416" s="44" t="s">
        <v>3289</v>
      </c>
      <c r="G416" s="4352"/>
      <c r="H416" s="4353"/>
      <c r="I416" s="4353"/>
      <c r="J416" s="4353"/>
      <c r="K416" s="4354"/>
      <c r="L416" s="352"/>
    </row>
    <row r="417" spans="1:31" ht="12" customHeight="1">
      <c r="B417" s="115"/>
      <c r="D417" s="4373"/>
      <c r="E417" s="352" t="s">
        <v>3941</v>
      </c>
      <c r="F417" s="44" t="s">
        <v>3942</v>
      </c>
      <c r="G417" s="4327" t="s">
        <v>3205</v>
      </c>
      <c r="H417" s="4328"/>
      <c r="I417" s="4329"/>
      <c r="J417" s="44" t="s">
        <v>3803</v>
      </c>
      <c r="K417" s="115"/>
      <c r="M417" s="4352"/>
      <c r="N417" s="4353"/>
      <c r="O417" s="4353"/>
      <c r="P417" s="4353"/>
      <c r="Q417" s="4354"/>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344"/>
      <c r="C419" s="4345"/>
      <c r="D419" s="4345"/>
      <c r="E419" s="4345"/>
      <c r="F419" s="4345"/>
      <c r="G419" s="4345"/>
      <c r="H419" s="4345"/>
      <c r="I419" s="4345"/>
      <c r="J419" s="4345"/>
      <c r="K419" s="4345"/>
      <c r="L419" s="4345"/>
      <c r="M419" s="4345"/>
      <c r="N419" s="4345"/>
      <c r="O419" s="4345"/>
      <c r="P419" s="4345"/>
      <c r="Q419" s="4346"/>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2" t="s">
        <v>4035</v>
      </c>
      <c r="C421" s="4198"/>
      <c r="D421" s="4198"/>
      <c r="E421" s="4198"/>
      <c r="F421" s="4198"/>
      <c r="G421" s="4198"/>
      <c r="H421" s="4198"/>
      <c r="I421" s="4198"/>
      <c r="J421" s="4198"/>
      <c r="K421" s="4198"/>
      <c r="L421" s="4198"/>
      <c r="M421" s="4198"/>
      <c r="N421" s="4198"/>
    </row>
    <row r="422" spans="1:31" s="115" customFormat="1" ht="45" customHeight="1">
      <c r="B422" s="4198" t="s">
        <v>6544</v>
      </c>
      <c r="C422" s="4198"/>
      <c r="D422" s="4198"/>
      <c r="E422" s="4198"/>
      <c r="F422" s="4198"/>
      <c r="G422" s="4198"/>
      <c r="H422" s="4198"/>
      <c r="I422" s="4198"/>
      <c r="J422" s="4198"/>
      <c r="K422" s="4198"/>
      <c r="L422" s="4198"/>
      <c r="M422" s="4198"/>
      <c r="N422" s="4198"/>
      <c r="O422" s="128" t="s">
        <v>1843</v>
      </c>
      <c r="P422" s="905"/>
      <c r="Q422" s="906"/>
    </row>
    <row r="423" spans="1:31" ht="12" customHeight="1">
      <c r="B423" s="109" t="s">
        <v>3241</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2508</v>
      </c>
      <c r="C428" s="4"/>
      <c r="D428" s="66"/>
      <c r="E428" s="887"/>
      <c r="F428" s="887"/>
      <c r="G428" s="887"/>
      <c r="H428" s="887"/>
      <c r="O428" s="101" t="s">
        <v>1731</v>
      </c>
      <c r="P428" s="4216"/>
      <c r="Q428" s="4205"/>
    </row>
    <row r="429" spans="1:31" ht="14.1" customHeight="1">
      <c r="B429" s="66" t="s">
        <v>3898</v>
      </c>
      <c r="C429" s="4"/>
      <c r="D429" s="66"/>
      <c r="E429" s="887"/>
      <c r="F429" s="887"/>
      <c r="G429" s="887"/>
      <c r="H429" s="887"/>
    </row>
    <row r="430" spans="1:31" s="102" customFormat="1" ht="21.75" customHeight="1">
      <c r="A430" s="110" t="s">
        <v>1841</v>
      </c>
      <c r="B430" s="4198" t="s">
        <v>3313</v>
      </c>
      <c r="C430" s="4198"/>
      <c r="D430" s="4198"/>
      <c r="E430" s="4198"/>
      <c r="F430" s="4198"/>
      <c r="G430" s="4198"/>
      <c r="H430" s="4198"/>
      <c r="I430" s="4198"/>
      <c r="J430" s="4198"/>
      <c r="K430" s="4198"/>
      <c r="L430" s="4198"/>
      <c r="M430" s="4198"/>
      <c r="N430" s="4198"/>
      <c r="O430" s="128" t="s">
        <v>1841</v>
      </c>
      <c r="P430" s="894"/>
      <c r="Q430" s="893"/>
    </row>
    <row r="431" spans="1:31" s="102" customFormat="1" ht="22.5" customHeight="1">
      <c r="A431" s="110" t="s">
        <v>1843</v>
      </c>
      <c r="B431" s="4198" t="s">
        <v>3312</v>
      </c>
      <c r="C431" s="4198"/>
      <c r="D431" s="4198"/>
      <c r="E431" s="4198"/>
      <c r="F431" s="4198"/>
      <c r="G431" s="4198"/>
      <c r="H431" s="4198"/>
      <c r="I431" s="4198"/>
      <c r="J431" s="4198"/>
      <c r="K431" s="4198"/>
      <c r="L431" s="4198"/>
      <c r="M431" s="4198"/>
      <c r="N431" s="4198"/>
      <c r="O431" s="128" t="s">
        <v>1843</v>
      </c>
      <c r="P431" s="431"/>
      <c r="Q431" s="422"/>
    </row>
    <row r="432" spans="1:31" s="102" customFormat="1" ht="22.5" customHeight="1">
      <c r="B432" s="1220" t="s">
        <v>1614</v>
      </c>
      <c r="C432" s="4198" t="s">
        <v>3868</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3870</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2182</v>
      </c>
      <c r="C435" s="4198" t="s">
        <v>3871</v>
      </c>
      <c r="D435" s="4198"/>
      <c r="E435" s="4198"/>
      <c r="F435" s="4198"/>
      <c r="G435" s="4198"/>
      <c r="H435" s="4198"/>
      <c r="I435" s="4198"/>
      <c r="J435" s="4198"/>
      <c r="K435" s="4198"/>
      <c r="L435" s="4198"/>
      <c r="M435" s="4198"/>
      <c r="N435" s="4198"/>
      <c r="O435" s="128" t="s">
        <v>2182</v>
      </c>
      <c r="P435" s="431"/>
      <c r="Q435" s="422"/>
    </row>
    <row r="436" spans="1:31" s="102" customFormat="1" ht="22.5" customHeight="1">
      <c r="A436" s="110" t="s">
        <v>698</v>
      </c>
      <c r="B436" s="4198" t="s">
        <v>3314</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1962</v>
      </c>
      <c r="B437" s="4198" t="s">
        <v>3919</v>
      </c>
      <c r="C437" s="4198"/>
      <c r="D437" s="4198"/>
      <c r="E437" s="4198"/>
      <c r="F437" s="4198"/>
      <c r="G437" s="4198"/>
      <c r="H437" s="4198"/>
      <c r="I437" s="4198"/>
      <c r="J437" s="4198"/>
      <c r="K437" s="4198"/>
      <c r="L437" s="4198"/>
      <c r="M437" s="4198"/>
      <c r="N437" s="4198"/>
      <c r="O437" s="128" t="s">
        <v>1962</v>
      </c>
      <c r="P437" s="431"/>
      <c r="Q437" s="422"/>
    </row>
    <row r="438" spans="1:31" s="102" customFormat="1" ht="21.75" customHeight="1">
      <c r="A438" s="110" t="s">
        <v>1612</v>
      </c>
      <c r="B438" s="4198" t="s">
        <v>3920</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3953</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3804</v>
      </c>
      <c r="B445" s="4"/>
      <c r="C445" s="4" t="s">
        <v>2436</v>
      </c>
      <c r="D445" s="66"/>
      <c r="E445" s="887"/>
      <c r="F445" s="887"/>
      <c r="G445" s="887"/>
      <c r="H445" s="887"/>
      <c r="J445" s="887"/>
      <c r="K445" s="887"/>
      <c r="L445" s="887"/>
      <c r="M445" s="887"/>
      <c r="O445" s="101" t="s">
        <v>1731</v>
      </c>
      <c r="P445" s="4216"/>
      <c r="Q445" s="4205"/>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4047</v>
      </c>
      <c r="P456" s="1876"/>
      <c r="R456" s="44"/>
    </row>
    <row r="457" spans="1:18" s="807" customFormat="1" ht="11.25">
      <c r="A457" s="44"/>
      <c r="B457" s="44"/>
      <c r="C457" s="1877" t="s">
        <v>1312</v>
      </c>
      <c r="J457" s="1875" t="s">
        <v>1953</v>
      </c>
      <c r="N457" s="808"/>
      <c r="O457" s="1875" t="s">
        <v>4048</v>
      </c>
      <c r="P457" s="1876"/>
      <c r="R457" s="44"/>
    </row>
    <row r="458" spans="1:18" s="807" customFormat="1" ht="11.25">
      <c r="A458" s="44"/>
      <c r="B458" s="44"/>
      <c r="C458" s="1877" t="s">
        <v>1313</v>
      </c>
      <c r="J458" s="1875" t="s">
        <v>1537</v>
      </c>
      <c r="N458" s="808"/>
      <c r="O458" s="1875" t="s">
        <v>4049</v>
      </c>
      <c r="P458" s="1876"/>
      <c r="R458" s="44"/>
    </row>
    <row r="459" spans="1:18" s="807" customFormat="1" ht="11.25">
      <c r="A459" s="44"/>
      <c r="B459" s="44"/>
      <c r="C459" s="1877" t="s">
        <v>1980</v>
      </c>
      <c r="J459" s="1875" t="s">
        <v>1120</v>
      </c>
      <c r="N459" s="808"/>
      <c r="O459" s="1875" t="s">
        <v>4053</v>
      </c>
      <c r="P459" s="1876"/>
      <c r="R459" s="44"/>
    </row>
    <row r="460" spans="1:18" s="807" customFormat="1" ht="11.25">
      <c r="A460" s="44"/>
      <c r="B460" s="44"/>
      <c r="C460" s="1877" t="s">
        <v>1309</v>
      </c>
      <c r="J460" s="1875" t="s">
        <v>549</v>
      </c>
      <c r="N460" s="808"/>
      <c r="O460" s="1875" t="s">
        <v>4050</v>
      </c>
      <c r="P460" s="1876"/>
      <c r="R460" s="44"/>
    </row>
    <row r="461" spans="1:18" s="807" customFormat="1" ht="11.25">
      <c r="A461" s="44"/>
      <c r="B461" s="44"/>
      <c r="C461" s="1877" t="s">
        <v>1310</v>
      </c>
      <c r="J461" s="1875" t="s">
        <v>1543</v>
      </c>
      <c r="N461" s="808"/>
      <c r="O461" s="1875" t="s">
        <v>4051</v>
      </c>
      <c r="P461" s="1876"/>
      <c r="R461" s="44"/>
    </row>
    <row r="462" spans="1:18" s="807" customFormat="1" ht="11.25">
      <c r="A462" s="44"/>
      <c r="B462" s="44"/>
      <c r="C462" s="1877" t="s">
        <v>1975</v>
      </c>
      <c r="J462" s="1875" t="s">
        <v>1117</v>
      </c>
      <c r="N462" s="808"/>
      <c r="O462" s="1875" t="s">
        <v>4052</v>
      </c>
      <c r="P462" s="1876"/>
      <c r="R462" s="44"/>
    </row>
    <row r="463" spans="1:18" s="807" customFormat="1" ht="11.25">
      <c r="A463" s="44"/>
      <c r="B463" s="44"/>
      <c r="C463" s="1877" t="s">
        <v>1976</v>
      </c>
      <c r="J463" s="1875" t="s">
        <v>1116</v>
      </c>
      <c r="N463" s="808"/>
      <c r="O463" s="807" t="s">
        <v>3279</v>
      </c>
      <c r="P463" s="1876"/>
      <c r="R463" s="44"/>
    </row>
    <row r="464" spans="1:18" s="807" customFormat="1" ht="11.25">
      <c r="A464" s="44"/>
      <c r="B464" s="44"/>
      <c r="C464" s="1877" t="s">
        <v>1977</v>
      </c>
      <c r="J464" s="1875" t="s">
        <v>1603</v>
      </c>
      <c r="N464" s="808"/>
      <c r="O464" s="807" t="s">
        <v>3280</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3250</v>
      </c>
      <c r="R490" s="44"/>
    </row>
    <row r="491" spans="1:18" s="807" customFormat="1" ht="11.25">
      <c r="A491" s="44"/>
      <c r="B491" s="44"/>
      <c r="C491" s="1877" t="s">
        <v>1130</v>
      </c>
      <c r="K491" s="807" t="s">
        <v>6203</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6306</v>
      </c>
      <c r="R495" s="44"/>
    </row>
    <row r="496" spans="1:18" s="807" customFormat="1" ht="11.25">
      <c r="A496" s="44"/>
      <c r="B496" s="44"/>
      <c r="C496" s="807" t="s">
        <v>1429</v>
      </c>
      <c r="K496" s="807" t="s">
        <v>6305</v>
      </c>
      <c r="R496" s="44"/>
    </row>
    <row r="497" spans="1:18" s="807" customFormat="1" ht="11.25">
      <c r="A497" s="44"/>
      <c r="B497" s="44"/>
      <c r="C497" s="807" t="s">
        <v>1965</v>
      </c>
      <c r="K497" s="807" t="s">
        <v>6204</v>
      </c>
      <c r="R497" s="44"/>
    </row>
    <row r="498" spans="1:18" s="807" customFormat="1" ht="11.25">
      <c r="A498" s="44"/>
      <c r="B498" s="44"/>
      <c r="C498" s="807" t="s">
        <v>162</v>
      </c>
      <c r="K498" s="807" t="s">
        <v>6307</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3853</v>
      </c>
      <c r="R506" s="44"/>
    </row>
    <row r="507" spans="1:18" s="807" customFormat="1" ht="11.25">
      <c r="A507" s="44"/>
      <c r="B507" s="44"/>
      <c r="C507" s="807" t="s">
        <v>950</v>
      </c>
      <c r="M507" s="807" t="s">
        <v>950</v>
      </c>
      <c r="R507" s="44"/>
    </row>
    <row r="508" spans="1:18" s="807" customFormat="1" ht="11.25">
      <c r="A508" s="44"/>
      <c r="B508" s="44"/>
      <c r="C508" s="807" t="s">
        <v>1938</v>
      </c>
      <c r="M508" s="807" t="s">
        <v>3850</v>
      </c>
      <c r="R508" s="44"/>
    </row>
    <row r="509" spans="1:18" s="807" customFormat="1" ht="11.25">
      <c r="A509" s="44"/>
      <c r="B509" s="44"/>
      <c r="C509" s="807" t="s">
        <v>2341</v>
      </c>
      <c r="M509" s="807" t="s">
        <v>3881</v>
      </c>
      <c r="R509" s="44"/>
    </row>
    <row r="510" spans="1:18" s="807" customFormat="1" ht="11.25">
      <c r="A510" s="44"/>
      <c r="B510" s="44"/>
      <c r="C510" s="807" t="s">
        <v>1939</v>
      </c>
      <c r="M510" s="807" t="s">
        <v>1540</v>
      </c>
      <c r="R510" s="44"/>
    </row>
    <row r="511" spans="1:18" s="807" customFormat="1" ht="11.25">
      <c r="A511" s="44"/>
      <c r="B511" s="44"/>
      <c r="C511" s="807" t="s">
        <v>1810</v>
      </c>
      <c r="M511" s="807" t="s">
        <v>3851</v>
      </c>
      <c r="R511" s="44"/>
    </row>
    <row r="512" spans="1:18" s="807" customFormat="1" ht="11.25">
      <c r="A512" s="44"/>
      <c r="B512" s="44"/>
      <c r="C512" s="807" t="s">
        <v>548</v>
      </c>
      <c r="M512" s="807" t="s">
        <v>3900</v>
      </c>
      <c r="R512" s="44"/>
    </row>
    <row r="513" spans="1:18" s="807" customFormat="1" ht="11.25">
      <c r="A513" s="44"/>
      <c r="B513" s="44"/>
      <c r="C513" s="807" t="s">
        <v>2035</v>
      </c>
      <c r="M513" s="807" t="s">
        <v>3901</v>
      </c>
      <c r="R513" s="44"/>
    </row>
    <row r="514" spans="1:18" s="807" customFormat="1" ht="11.25">
      <c r="A514" s="44"/>
      <c r="B514" s="44"/>
      <c r="C514" s="807" t="s">
        <v>30</v>
      </c>
      <c r="M514" s="807" t="s">
        <v>3852</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3262</v>
      </c>
      <c r="R518" s="44"/>
    </row>
    <row r="519" spans="1:18" s="807" customFormat="1" ht="11.25">
      <c r="A519" s="44"/>
      <c r="B519" s="44"/>
      <c r="M519" s="807" t="s">
        <v>3338</v>
      </c>
      <c r="R519" s="44"/>
    </row>
    <row r="520" spans="1:18" s="807" customFormat="1" ht="11.25">
      <c r="A520" s="44"/>
      <c r="B520" s="44"/>
      <c r="M520" s="807" t="s">
        <v>3333</v>
      </c>
      <c r="R520" s="44"/>
    </row>
    <row r="521" spans="1:18" s="807" customFormat="1" ht="11.25">
      <c r="A521" s="44"/>
      <c r="B521" s="44"/>
      <c r="M521" s="807" t="s">
        <v>3255</v>
      </c>
      <c r="R521" s="44"/>
    </row>
    <row r="522" spans="1:18" s="807" customFormat="1" ht="11.25">
      <c r="A522" s="44"/>
      <c r="B522" s="44"/>
      <c r="M522" s="807" t="s">
        <v>3329</v>
      </c>
      <c r="R522" s="44"/>
    </row>
    <row r="523" spans="1:18" s="807" customFormat="1" ht="11.25">
      <c r="A523" s="44"/>
      <c r="B523" s="44"/>
      <c r="D523" s="1879"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7" t="s">
        <v>6525</v>
      </c>
      <c r="B2" s="4387"/>
      <c r="C2" s="147"/>
      <c r="D2" s="795">
        <v>2021</v>
      </c>
      <c r="E2" s="144"/>
      <c r="F2" s="4422" t="s">
        <v>2999</v>
      </c>
      <c r="G2" s="4423"/>
      <c r="H2" s="4423"/>
      <c r="I2" s="4423"/>
      <c r="J2" s="4424"/>
      <c r="K2" s="234"/>
      <c r="L2" s="443" t="s">
        <v>3142</v>
      </c>
      <c r="M2" s="234"/>
      <c r="N2" s="4422" t="s">
        <v>2999</v>
      </c>
      <c r="O2" s="4423"/>
      <c r="P2" s="4423"/>
      <c r="Q2" s="4423"/>
      <c r="R2" s="4424"/>
      <c r="S2" s="241"/>
      <c r="T2" s="144"/>
      <c r="U2" s="144"/>
      <c r="V2" s="322"/>
      <c r="W2" s="322"/>
      <c r="X2" s="322"/>
      <c r="AA2" s="68"/>
      <c r="AB2" s="68"/>
    </row>
    <row r="3" spans="1:28" s="145" customFormat="1" ht="11.65" customHeight="1">
      <c r="A3" s="4387"/>
      <c r="B3" s="438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7"/>
      <c r="B4" s="438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6526</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6"/>
      <c r="Q44" s="4205"/>
    </row>
    <row r="45" spans="1:295" s="28" customFormat="1" ht="11.25" customHeight="1">
      <c r="A45" s="4394"/>
      <c r="B45" s="4394"/>
      <c r="C45" s="4394"/>
      <c r="D45" s="4394"/>
      <c r="E45" s="4394"/>
      <c r="F45" s="1245"/>
      <c r="G45" s="4378" t="s">
        <v>2465</v>
      </c>
      <c r="H45" s="4379"/>
      <c r="I45" s="66"/>
      <c r="J45" s="35"/>
      <c r="K45" s="4380" t="s">
        <v>3165</v>
      </c>
      <c r="L45" s="4381"/>
      <c r="M45" s="4381"/>
      <c r="N45" s="4382"/>
    </row>
    <row r="46" spans="1:295" s="28" customFormat="1" ht="11.25" customHeight="1">
      <c r="A46" s="4394"/>
      <c r="B46" s="4394"/>
      <c r="C46" s="4394"/>
      <c r="D46" s="4394"/>
      <c r="E46" s="4394"/>
      <c r="F46" s="1245"/>
      <c r="G46" s="4383" t="s">
        <v>333</v>
      </c>
      <c r="H46" s="4384"/>
      <c r="I46" s="66"/>
      <c r="J46" s="35"/>
      <c r="K46" s="4389" t="s">
        <v>3166</v>
      </c>
      <c r="L46" s="4390"/>
      <c r="M46" s="4390"/>
      <c r="N46" s="4391"/>
      <c r="P46" s="405" t="s">
        <v>2474</v>
      </c>
      <c r="Q46" s="74"/>
    </row>
    <row r="47" spans="1:295" s="28" customFormat="1" ht="4.5" customHeight="1">
      <c r="A47" s="1245"/>
      <c r="B47" s="1245"/>
      <c r="C47" s="1245"/>
      <c r="D47" s="1245"/>
      <c r="E47" s="1245"/>
      <c r="F47" s="1245"/>
      <c r="G47" s="66"/>
      <c r="H47" s="66"/>
      <c r="I47" s="66"/>
      <c r="J47" s="35"/>
      <c r="K47" s="4334"/>
      <c r="L47" s="4334"/>
      <c r="M47" s="4334"/>
      <c r="N47" s="4334"/>
      <c r="P47" s="4392" t="s">
        <v>3937</v>
      </c>
      <c r="Q47" s="4392"/>
    </row>
    <row r="48" spans="1:295" s="62" customFormat="1" ht="10.5" customHeight="1">
      <c r="D48" s="491" t="s">
        <v>2464</v>
      </c>
      <c r="E48" s="28"/>
      <c r="F48" s="492" t="s">
        <v>3067</v>
      </c>
      <c r="G48" s="4407" t="s">
        <v>3894</v>
      </c>
      <c r="H48" s="4407"/>
      <c r="I48" s="4407"/>
      <c r="J48" s="28"/>
      <c r="K48" s="492" t="s">
        <v>3067</v>
      </c>
      <c r="L48" s="4407" t="s">
        <v>3893</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2998</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399" t="str">
        <f>IF('Part I-Project Identification'!$F$26="","",VLOOKUP('Part I-Project Identification'!$J$26,'DCA Underwriting Assumptions'!$G$141:$N$300,8,FALSE))</f>
        <v>Augusta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190" t="s">
        <v>3938</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385">
        <f>'Part III-A-Uses of Funds'!$G$146</f>
        <v>31347921.201668195</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0" t="s">
        <v>3929</v>
      </c>
      <c r="Q54" s="4190"/>
      <c r="R54" s="4425" t="s">
        <v>6301</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2993</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30357401.201668195</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489" t="s">
        <v>3366</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03"/>
      <c r="Q58" s="4404"/>
      <c r="R58" s="328"/>
      <c r="S58" s="4408" t="s">
        <v>3932</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388" t="s">
        <v>3161</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388" t="s">
        <v>3162</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2889</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420" t="s">
        <v>2491</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149783.04000000001</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f>IF('Part V-Revenues &amp; Expenses'!$L$154 =0,"",'Part V-Revenues &amp; Expenses'!$L$154)</f>
        <v>129</v>
      </c>
      <c r="L71" s="661">
        <f>G71*(1+'DCA Underwriting Assumptions'!$Q$12)</f>
        <v>200959.16500000001</v>
      </c>
      <c r="M71" s="33" t="str">
        <f>CONCATENATE("x ", K71," units = ")</f>
        <v xml:space="preserve">x 129 units = </v>
      </c>
      <c r="N71" s="1244">
        <f>IF(K71="","",K71*L71)</f>
        <v>25923732.285</v>
      </c>
      <c r="O71" s="441"/>
      <c r="P71" s="4395">
        <f>IF(P58&gt;1,P58, IF(OR('Part VIII Scoring Criteria OLD'!$O$113='Part VIII Scoring Criteria OLD'!$M$113,AND('Part III-A-Uses of Funds'!$T$179="Yes",'Part VIII Scoring Criteria OLD'!$O$378&gt;0)),H77+M77,H77))</f>
        <v>0</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f>IF('Part V-Revenues &amp; Expenses'!$M$154 =0,"",'Part V-Revenues &amp; Expenses'!$M$154)</f>
        <v>6</v>
      </c>
      <c r="L72" s="661">
        <f>G72*(1+'DCA Underwriting Assumptions'!$Q$12)</f>
        <v>258374.98499999999</v>
      </c>
      <c r="M72" s="33" t="str">
        <f>CONCATENATE("x ", K72," units = ")</f>
        <v xml:space="preserve">x 6 units = </v>
      </c>
      <c r="N72" s="1244">
        <f>IF(K72="","",K72*L72)</f>
        <v>1550249.91</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417" t="s">
        <v>3450</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135</v>
      </c>
      <c r="L75" s="873"/>
      <c r="M75" s="871"/>
      <c r="N75" s="874">
        <f>SUM(N70:N74)</f>
        <v>27473982.195</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0</v>
      </c>
      <c r="G77" s="258"/>
      <c r="H77" s="4426">
        <f>I54+I61+I68+I75</f>
        <v>0</v>
      </c>
      <c r="I77" s="4426"/>
      <c r="J77" s="4426"/>
      <c r="K77" s="486">
        <f>K54+K61+K68+K75</f>
        <v>135</v>
      </c>
      <c r="L77" s="487"/>
      <c r="M77" s="4426">
        <f>N54+N61+N68+N75</f>
        <v>27473982.195</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Richmond Summit, Augusta, Richmond County</v>
      </c>
      <c r="B1" s="3317"/>
      <c r="C1" s="3317"/>
      <c r="D1" s="3317"/>
      <c r="E1" s="3317"/>
      <c r="F1" s="3317"/>
      <c r="G1" s="3317"/>
      <c r="H1" s="3317"/>
      <c r="I1" s="3317"/>
      <c r="J1" s="3317"/>
      <c r="K1" s="3317"/>
      <c r="L1" s="3317"/>
      <c r="M1" s="3317"/>
      <c r="N1" s="3317"/>
      <c r="O1" s="3317"/>
      <c r="P1" s="3318"/>
      <c r="Q1" s="4713" t="s">
        <v>6646</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6660</v>
      </c>
      <c r="B3" s="4606"/>
      <c r="C3" s="4606"/>
      <c r="D3" s="4606"/>
      <c r="E3" s="4606"/>
      <c r="F3" s="4606"/>
      <c r="G3" s="4606"/>
      <c r="H3" s="4606"/>
      <c r="I3" s="4606"/>
      <c r="J3" s="4606"/>
      <c r="K3" s="4606"/>
      <c r="L3" s="4606"/>
      <c r="M3" s="670"/>
      <c r="N3" s="54"/>
      <c r="O3" s="63" t="s">
        <v>2050</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2051</v>
      </c>
      <c r="P4" s="149" t="s">
        <v>2051</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633" t="s">
        <v>6497</v>
      </c>
      <c r="G12" s="4633"/>
      <c r="H12" s="4633"/>
      <c r="I12" s="4633"/>
      <c r="J12" s="4633"/>
      <c r="K12" s="4633"/>
      <c r="L12" s="4633"/>
      <c r="M12" s="4633"/>
      <c r="N12" s="4633"/>
      <c r="O12" s="1201" t="s">
        <v>3811</v>
      </c>
      <c r="P12" s="1202">
        <f>SUM(P13:P31)</f>
        <v>0</v>
      </c>
      <c r="Q12" s="4712" t="s">
        <v>6546</v>
      </c>
      <c r="R12" s="4712"/>
      <c r="S12" s="4712"/>
      <c r="T12" s="4712"/>
      <c r="U12" s="4712"/>
      <c r="V12" s="1179"/>
    </row>
    <row r="13" spans="1:25" s="35" customFormat="1" ht="10.5" customHeight="1">
      <c r="A13" s="924" t="s">
        <v>1668</v>
      </c>
      <c r="B13" s="921" t="s">
        <v>3395</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4039</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3340</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3396</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3397</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4040</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4042</v>
      </c>
      <c r="B19" s="751" t="s">
        <v>3263</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4054</v>
      </c>
      <c r="B20" s="751" t="s">
        <v>4043</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6244</v>
      </c>
      <c r="B21" s="931" t="s">
        <v>4044</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6638</v>
      </c>
      <c r="B22" s="751" t="s">
        <v>6550</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6640</v>
      </c>
      <c r="B23" s="751" t="s">
        <v>6639</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3370</v>
      </c>
      <c r="B24" s="1887" t="s">
        <v>6556</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3374</v>
      </c>
      <c r="B25" s="751" t="s">
        <v>3398</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3377</v>
      </c>
      <c r="B26" s="751" t="s">
        <v>3399</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3378</v>
      </c>
      <c r="B27" s="751" t="s">
        <v>3400</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3804</v>
      </c>
      <c r="B30" s="751" t="s">
        <v>6554</v>
      </c>
      <c r="C30" s="866"/>
      <c r="D30" s="925"/>
      <c r="E30" s="1196">
        <f>$O$428</f>
        <v>0</v>
      </c>
      <c r="F30" s="4627">
        <f>$A$430</f>
        <v>0</v>
      </c>
      <c r="G30" s="4628"/>
      <c r="H30" s="4628"/>
      <c r="I30" s="4628"/>
      <c r="J30" s="4628"/>
      <c r="K30" s="4628"/>
      <c r="L30" s="4628"/>
      <c r="M30" s="4628"/>
      <c r="N30" s="4628"/>
      <c r="O30" s="4629"/>
      <c r="P30" s="1209"/>
      <c r="Q30" s="1964"/>
      <c r="R30" s="1628"/>
      <c r="S30" s="1628"/>
      <c r="AA30" s="3637" t="s">
        <v>6564</v>
      </c>
      <c r="AB30" s="3637"/>
      <c r="AC30" s="3637"/>
      <c r="AD30" s="3637"/>
      <c r="AE30" s="3637"/>
      <c r="AF30" s="3637"/>
    </row>
    <row r="31" spans="1:35" s="35" customFormat="1" ht="10.5" customHeight="1">
      <c r="A31" s="926" t="s">
        <v>6557</v>
      </c>
      <c r="B31" s="927" t="s">
        <v>6555</v>
      </c>
      <c r="C31" s="928"/>
      <c r="D31" s="929"/>
      <c r="E31" s="1624">
        <f>$O$434</f>
        <v>0</v>
      </c>
      <c r="F31" s="4630">
        <f>$A$438</f>
        <v>0</v>
      </c>
      <c r="G31" s="4631"/>
      <c r="H31" s="4631"/>
      <c r="I31" s="4631"/>
      <c r="J31" s="4631"/>
      <c r="K31" s="4631"/>
      <c r="L31" s="4631"/>
      <c r="M31" s="4631"/>
      <c r="N31" s="4631"/>
      <c r="O31" s="4632"/>
      <c r="P31" s="1210"/>
      <c r="Q31" s="1964"/>
      <c r="R31" s="1628"/>
      <c r="S31" s="1628"/>
      <c r="X31" s="3637" t="s">
        <v>6565</v>
      </c>
      <c r="Y31" s="3637"/>
      <c r="Z31" s="3637"/>
      <c r="AA31" s="3637"/>
      <c r="AB31" s="3637"/>
      <c r="AC31" s="3637"/>
      <c r="AD31" s="3637" t="s">
        <v>6566</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688" t="s">
        <v>6126</v>
      </c>
      <c r="H33" s="4688"/>
      <c r="I33" s="4685" t="s">
        <v>6507</v>
      </c>
      <c r="J33" s="4686"/>
      <c r="K33" s="4686"/>
      <c r="L33" s="4687"/>
      <c r="M33" s="4640" t="s">
        <v>6139</v>
      </c>
      <c r="N33" s="4640"/>
      <c r="O33" s="4640"/>
      <c r="P33" s="4640"/>
      <c r="Q33" s="436"/>
      <c r="R33" s="436"/>
      <c r="S33" s="83" t="s">
        <v>6138</v>
      </c>
      <c r="T33" s="436"/>
      <c r="U33" s="436"/>
      <c r="V33" s="436"/>
      <c r="X33" s="4671" t="s">
        <v>6126</v>
      </c>
      <c r="Y33" s="4673"/>
      <c r="Z33" s="4671" t="s">
        <v>6507</v>
      </c>
      <c r="AA33" s="4672"/>
      <c r="AB33" s="4672"/>
      <c r="AC33" s="4673"/>
      <c r="AD33" s="4680" t="s">
        <v>6126</v>
      </c>
      <c r="AE33" s="4681"/>
      <c r="AF33" s="4682" t="s">
        <v>6507</v>
      </c>
      <c r="AG33" s="4680"/>
      <c r="AH33" s="4680"/>
      <c r="AI33" s="4681"/>
    </row>
    <row r="34" spans="1:46" s="115" customFormat="1" ht="11.25" customHeight="1">
      <c r="A34" s="44"/>
      <c r="B34" s="29"/>
      <c r="C34" s="44"/>
      <c r="D34" s="44"/>
      <c r="E34" s="44"/>
      <c r="F34" s="44"/>
      <c r="G34" s="1723">
        <v>0.09</v>
      </c>
      <c r="H34" s="1723">
        <v>0.04</v>
      </c>
      <c r="I34" s="1723">
        <v>0.04</v>
      </c>
      <c r="J34" s="1723" t="s">
        <v>6547</v>
      </c>
      <c r="K34" s="1723" t="s">
        <v>6548</v>
      </c>
      <c r="L34" s="1723" t="s">
        <v>6549</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427" t="s">
        <v>6563</v>
      </c>
      <c r="N40" s="4428"/>
      <c r="O40" s="4428"/>
      <c r="P40" s="4428"/>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427"/>
      <c r="N41" s="4428"/>
      <c r="O41" s="4428"/>
      <c r="P41" s="4428"/>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3805</v>
      </c>
      <c r="C48" s="1730"/>
      <c r="D48" s="1731"/>
      <c r="E48" s="1731"/>
      <c r="F48" s="1731"/>
      <c r="G48" s="1732">
        <v>4</v>
      </c>
      <c r="H48" s="1733">
        <v>4</v>
      </c>
      <c r="I48" s="1732">
        <v>4</v>
      </c>
      <c r="J48" s="1821">
        <v>4</v>
      </c>
      <c r="K48" s="1821">
        <v>4</v>
      </c>
      <c r="L48" s="1733">
        <v>4</v>
      </c>
      <c r="M48" s="1851" t="s">
        <v>2444</v>
      </c>
      <c r="N48" s="1852"/>
      <c r="O48" s="1853"/>
      <c r="P48" s="1232"/>
      <c r="R48" s="658" t="s">
        <v>2080</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135</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431" t="s">
        <v>6738</v>
      </c>
      <c r="N52" s="4432"/>
      <c r="O52" s="4432"/>
      <c r="P52" s="4432"/>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431"/>
      <c r="N53" s="4432"/>
      <c r="O53" s="4432"/>
      <c r="P53" s="4432"/>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433"/>
      <c r="N54" s="4434"/>
      <c r="O54" s="4434"/>
      <c r="P54" s="4434"/>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641" t="s">
        <v>6713</v>
      </c>
      <c r="N55" s="4642"/>
      <c r="O55" s="4642"/>
      <c r="P55" s="4643"/>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644"/>
      <c r="N56" s="4645"/>
      <c r="O56" s="4645"/>
      <c r="P56" s="4646"/>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427" t="s">
        <v>6141</v>
      </c>
      <c r="N58" s="4428"/>
      <c r="O58" s="4428"/>
      <c r="P58" s="4428"/>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429"/>
      <c r="N59" s="4430"/>
      <c r="O59" s="4430"/>
      <c r="P59" s="4430"/>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718" t="s">
        <v>6714</v>
      </c>
      <c r="N60" s="4719"/>
      <c r="O60" s="4719"/>
      <c r="P60" s="4720"/>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721"/>
      <c r="N61" s="4722"/>
      <c r="O61" s="4722"/>
      <c r="P61" s="4723"/>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3830</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9">
        <f>SUM(P67:P69)</f>
        <v>0</v>
      </c>
      <c r="Q66" s="29" t="s">
        <v>6243</v>
      </c>
    </row>
    <row r="67" spans="1:20" s="36" customFormat="1" ht="12.75" customHeight="1">
      <c r="A67" s="107"/>
      <c r="B67" s="1610" t="s">
        <v>1844</v>
      </c>
      <c r="C67" s="81" t="s">
        <v>3809</v>
      </c>
      <c r="D67" s="41"/>
      <c r="E67" s="41"/>
      <c r="F67" s="891"/>
      <c r="H67" s="147" t="s">
        <v>3175</v>
      </c>
      <c r="J67" s="42"/>
      <c r="N67" s="317" t="s">
        <v>1844</v>
      </c>
      <c r="P67" s="902">
        <f>F75</f>
        <v>0</v>
      </c>
    </row>
    <row r="68" spans="1:20" s="36" customFormat="1" ht="12.75" customHeight="1">
      <c r="A68" s="107"/>
      <c r="B68" s="1610" t="s">
        <v>1846</v>
      </c>
      <c r="C68" s="81" t="s">
        <v>6242</v>
      </c>
      <c r="D68" s="41"/>
      <c r="E68" s="41"/>
      <c r="F68" s="891"/>
      <c r="H68" s="147" t="s">
        <v>3807</v>
      </c>
      <c r="J68" s="42"/>
      <c r="N68" s="317" t="s">
        <v>1846</v>
      </c>
      <c r="P68" s="1177">
        <f>J75</f>
        <v>0</v>
      </c>
    </row>
    <row r="69" spans="1:20" s="36" customFormat="1" ht="12.75" customHeight="1">
      <c r="A69" s="107"/>
      <c r="B69" s="1610" t="s">
        <v>2332</v>
      </c>
      <c r="C69" s="81" t="s">
        <v>3808</v>
      </c>
      <c r="D69" s="41"/>
      <c r="E69" s="41"/>
      <c r="F69" s="891"/>
      <c r="H69" s="147" t="s">
        <v>3812</v>
      </c>
      <c r="J69" s="42"/>
      <c r="N69" s="317" t="s">
        <v>2332</v>
      </c>
      <c r="P69" s="1178"/>
    </row>
    <row r="70" spans="1:20" s="36" customFormat="1" ht="12.75" customHeight="1">
      <c r="C70" s="4465" t="s">
        <v>3896</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392" t="s">
        <v>6074</v>
      </c>
      <c r="B74" s="4392"/>
      <c r="C74" s="4392"/>
      <c r="D74" s="4392"/>
      <c r="E74" s="4392"/>
      <c r="F74" s="1176" t="s">
        <v>3392</v>
      </c>
      <c r="G74" s="4619" t="s">
        <v>6076</v>
      </c>
      <c r="H74" s="4619"/>
      <c r="I74" s="4619"/>
      <c r="J74" s="1176" t="s">
        <v>3392</v>
      </c>
      <c r="K74" s="4623" t="s">
        <v>6075</v>
      </c>
      <c r="L74" s="4623"/>
      <c r="M74" s="4623"/>
      <c r="N74" s="4623"/>
      <c r="O74" s="4617" t="s">
        <v>3392</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2576</v>
      </c>
      <c r="K78" s="4461">
        <v>3</v>
      </c>
      <c r="L78" s="4462"/>
      <c r="M78" s="4462"/>
      <c r="N78" s="4462"/>
      <c r="O78" s="4437" t="s">
        <v>2576</v>
      </c>
      <c r="P78" s="4438"/>
      <c r="Q78" s="4435" t="s">
        <v>3810</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2576</v>
      </c>
      <c r="P79" s="4438"/>
      <c r="Q79" s="4435"/>
      <c r="R79" s="4436"/>
      <c r="S79" s="1179"/>
      <c r="T79" s="1179"/>
    </row>
    <row r="80" spans="1:20" s="35" customFormat="1" ht="24.75" customHeight="1">
      <c r="A80" s="4458">
        <v>5</v>
      </c>
      <c r="B80" s="4459"/>
      <c r="C80" s="4459"/>
      <c r="D80" s="4459"/>
      <c r="E80" s="4460"/>
      <c r="F80" s="680"/>
      <c r="G80" s="4458">
        <v>5</v>
      </c>
      <c r="H80" s="4459"/>
      <c r="I80" s="4460"/>
      <c r="J80" s="934" t="s">
        <v>3145</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3146</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3147</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3148</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3927</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3" t="s">
        <v>3813</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9">
        <f>'Part V-Revenues &amp; Expenses'!$B$50</f>
        <v>60</v>
      </c>
      <c r="L94" s="4511" t="str">
        <f>IF(AND(O94&gt;0,O95&gt;0), "CHOOSE EITHER A OR B, NOT BOTH!", "")</f>
        <v/>
      </c>
      <c r="M94" s="458">
        <v>2</v>
      </c>
      <c r="N94" s="150" t="s">
        <v>1844</v>
      </c>
      <c r="O94" s="406"/>
      <c r="P94" s="414"/>
      <c r="Q94" s="1212" t="str">
        <f>IF(OR($O94=$M94,$O94=0,$O94=""),"","*CHECK!*")</f>
        <v/>
      </c>
      <c r="R94" s="795" t="s">
        <v>4060</v>
      </c>
    </row>
    <row r="95" spans="1:19" s="70" customFormat="1" ht="13.5" customHeight="1">
      <c r="A95" s="396" t="s">
        <v>2984</v>
      </c>
      <c r="B95" s="1193" t="s">
        <v>1846</v>
      </c>
      <c r="C95" s="1183" t="s">
        <v>3816</v>
      </c>
      <c r="D95" s="29"/>
      <c r="I95" s="1182"/>
      <c r="K95" s="29"/>
      <c r="L95" s="4511"/>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24" t="s">
        <v>3817</v>
      </c>
      <c r="I97" s="4725"/>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135</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1841</v>
      </c>
      <c r="B106" s="141" t="s">
        <v>1737</v>
      </c>
      <c r="C106" s="4"/>
      <c r="D106" s="4"/>
      <c r="F106" s="243"/>
      <c r="H106" s="658" t="s">
        <v>2468</v>
      </c>
      <c r="I106" s="4696" t="s">
        <v>4045</v>
      </c>
      <c r="J106" s="4697"/>
      <c r="K106" s="4697"/>
      <c r="L106" s="4698"/>
      <c r="M106" s="458">
        <v>20</v>
      </c>
      <c r="N106" s="150" t="s">
        <v>1841</v>
      </c>
      <c r="O106" s="1765"/>
      <c r="P106" s="1766"/>
      <c r="Q106" s="1212"/>
      <c r="R106" s="795" t="s">
        <v>4060</v>
      </c>
    </row>
    <row r="107" spans="1:18" s="70" customFormat="1" ht="12.75" customHeight="1">
      <c r="A107" s="107" t="s">
        <v>1843</v>
      </c>
      <c r="B107" s="141" t="s">
        <v>3281</v>
      </c>
      <c r="D107" s="880"/>
      <c r="F107" s="1238"/>
      <c r="H107" s="658" t="s">
        <v>3339</v>
      </c>
      <c r="I107" s="4699"/>
      <c r="J107" s="4606"/>
      <c r="K107" s="4606"/>
      <c r="L107" s="4700"/>
      <c r="M107" s="891" t="s">
        <v>1164</v>
      </c>
      <c r="N107" s="48" t="s">
        <v>1843</v>
      </c>
      <c r="O107" s="1767"/>
      <c r="P107" s="1768"/>
      <c r="R107" s="795" t="s">
        <v>4060</v>
      </c>
    </row>
    <row r="108" spans="1:18" s="36" customFormat="1" ht="12.75" customHeight="1" thickBot="1">
      <c r="A108" s="35"/>
      <c r="B108" s="937" t="s">
        <v>3242</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2414</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648" t="s">
        <v>3216</v>
      </c>
      <c r="G123" s="4648"/>
      <c r="H123" s="4648"/>
      <c r="I123" s="4648"/>
      <c r="J123" s="4648" t="s">
        <v>3217</v>
      </c>
      <c r="K123" s="4648"/>
      <c r="L123" s="4648"/>
      <c r="M123" s="4648"/>
      <c r="N123" s="48"/>
      <c r="O123" s="4649" t="s">
        <v>3886</v>
      </c>
      <c r="P123" s="4650"/>
      <c r="Q123" s="86"/>
      <c r="R123" s="879"/>
      <c r="S123" s="879"/>
      <c r="T123" s="879"/>
      <c r="U123" s="879"/>
    </row>
    <row r="124" spans="1:21" s="36" customFormat="1" ht="12" customHeight="1">
      <c r="B124" s="1839"/>
      <c r="C124" s="1182" t="s">
        <v>6572</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6148</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6681</v>
      </c>
      <c r="B126" s="4526"/>
      <c r="C126" s="1182" t="s">
        <v>6571</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3367</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6704</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6149</v>
      </c>
      <c r="D132" s="34"/>
      <c r="F132" s="38"/>
      <c r="M132" s="119"/>
      <c r="N132" s="317"/>
      <c r="O132" s="176"/>
      <c r="P132" s="421"/>
      <c r="Q132" s="86"/>
    </row>
    <row r="133" spans="1:21" s="332" customFormat="1" ht="25.5" customHeight="1">
      <c r="B133" s="350" t="s">
        <v>1844</v>
      </c>
      <c r="C133" s="4647" t="s">
        <v>6679</v>
      </c>
      <c r="D133" s="4647"/>
      <c r="E133" s="4647"/>
      <c r="F133" s="4647"/>
      <c r="G133" s="4647"/>
      <c r="H133" s="4647"/>
      <c r="I133" s="4647"/>
      <c r="J133" s="4647"/>
      <c r="K133" s="4647"/>
      <c r="L133" s="4647"/>
      <c r="M133" s="1848">
        <v>6</v>
      </c>
      <c r="N133" s="374" t="s">
        <v>1844</v>
      </c>
      <c r="O133" s="1910"/>
      <c r="P133" s="1911"/>
      <c r="Q133" s="1212"/>
      <c r="R133" s="795" t="s">
        <v>4060</v>
      </c>
    </row>
    <row r="134" spans="1:21" s="332" customFormat="1" ht="12" customHeight="1">
      <c r="A134" s="456" t="s">
        <v>1275</v>
      </c>
      <c r="B134" s="350" t="s">
        <v>1846</v>
      </c>
      <c r="C134" s="3654" t="s">
        <v>6680</v>
      </c>
      <c r="D134" s="3654"/>
      <c r="E134" s="3654"/>
      <c r="F134" s="3654"/>
      <c r="G134" s="866"/>
      <c r="J134" s="4655" t="s">
        <v>6676</v>
      </c>
      <c r="K134" s="4656"/>
      <c r="L134" s="4657"/>
      <c r="M134" s="458">
        <v>5</v>
      </c>
      <c r="N134" s="348" t="s">
        <v>1846</v>
      </c>
      <c r="O134" s="1923"/>
      <c r="P134" s="1924"/>
      <c r="Q134" s="1810" t="s">
        <v>6672</v>
      </c>
      <c r="R134" s="1176" t="s">
        <v>6265</v>
      </c>
      <c r="S134" s="1176" t="s">
        <v>6146</v>
      </c>
    </row>
    <row r="135" spans="1:21" s="332" customFormat="1" ht="12" customHeight="1">
      <c r="B135" s="350"/>
      <c r="C135" s="3654"/>
      <c r="D135" s="3654"/>
      <c r="E135" s="3654"/>
      <c r="F135" s="3654"/>
      <c r="G135" s="866"/>
      <c r="H135" s="3489" t="s">
        <v>6674</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1843</v>
      </c>
      <c r="B138" s="897" t="s">
        <v>3240</v>
      </c>
      <c r="C138" s="503"/>
      <c r="D138" s="503"/>
      <c r="F138" s="1902" t="s">
        <v>6671</v>
      </c>
      <c r="J138" s="4689" t="s">
        <v>3237</v>
      </c>
      <c r="K138" s="4690"/>
      <c r="L138" s="1837"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654" t="s">
        <v>6686</v>
      </c>
      <c r="D139" s="3654"/>
      <c r="E139" s="3654"/>
      <c r="F139" s="3654"/>
      <c r="G139" s="866"/>
      <c r="H139" s="3489" t="s">
        <v>6675</v>
      </c>
      <c r="I139" s="3489"/>
      <c r="J139" s="4505" t="s">
        <v>6691</v>
      </c>
      <c r="K139" s="4506"/>
      <c r="L139" s="4507"/>
      <c r="M139" s="458">
        <v>3</v>
      </c>
      <c r="N139" s="348" t="s">
        <v>1844</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6567</v>
      </c>
      <c r="K140" s="4469"/>
      <c r="L140" s="4470"/>
      <c r="M140" s="70"/>
      <c r="O140" s="4482"/>
      <c r="P140" s="4485"/>
      <c r="Q140" s="86"/>
      <c r="R140" s="1550">
        <v>1</v>
      </c>
      <c r="S140" s="1550">
        <v>1</v>
      </c>
      <c r="U140" s="332"/>
    </row>
    <row r="141" spans="1:21" s="36" customFormat="1" ht="11.25" customHeight="1">
      <c r="A141" s="456" t="s">
        <v>1275</v>
      </c>
      <c r="B141" s="1632" t="s">
        <v>1846</v>
      </c>
      <c r="C141" s="3654" t="s">
        <v>6678</v>
      </c>
      <c r="D141" s="3654"/>
      <c r="E141" s="3654"/>
      <c r="F141" s="3654"/>
      <c r="G141" s="3654"/>
      <c r="H141" s="3654"/>
      <c r="I141" s="1903"/>
      <c r="J141" s="4471"/>
      <c r="K141" s="4472"/>
      <c r="L141" s="4473"/>
      <c r="M141" s="458">
        <v>1</v>
      </c>
      <c r="N141" s="348" t="s">
        <v>1846</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2332</v>
      </c>
      <c r="C143" s="3654" t="s">
        <v>6677</v>
      </c>
      <c r="D143" s="3654"/>
      <c r="E143" s="3654"/>
      <c r="F143" s="3654"/>
      <c r="G143" s="3654"/>
      <c r="H143" s="3654"/>
      <c r="I143" s="4480"/>
      <c r="J143" s="4468" t="s">
        <v>6568</v>
      </c>
      <c r="K143" s="4469"/>
      <c r="L143" s="4470"/>
      <c r="M143" s="1848">
        <v>2</v>
      </c>
      <c r="N143" s="374" t="s">
        <v>2332</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500" t="s">
        <v>6891</v>
      </c>
      <c r="K154" s="4501"/>
      <c r="L154" s="4501"/>
      <c r="M154" s="4502"/>
      <c r="N154"/>
      <c r="O154"/>
      <c r="P154"/>
    </row>
    <row r="155" spans="1:19" ht="12.75" customHeight="1">
      <c r="B155" s="430"/>
      <c r="C155" s="430"/>
      <c r="D155" s="430"/>
      <c r="F155" s="4257" t="s">
        <v>6629</v>
      </c>
      <c r="G155" s="4257"/>
      <c r="H155" s="4257" t="s">
        <v>6271</v>
      </c>
      <c r="I155" s="4257"/>
      <c r="J155" s="4486" t="s">
        <v>6630</v>
      </c>
      <c r="K155" s="4487"/>
      <c r="L155" s="4489" t="s">
        <v>6890</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6631</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2240</v>
      </c>
      <c r="C173" s="4198" t="s">
        <v>6682</v>
      </c>
      <c r="D173" s="4198"/>
      <c r="E173" s="4198"/>
      <c r="F173" s="4198"/>
      <c r="G173" s="4198"/>
      <c r="H173" s="4198"/>
      <c r="I173" s="4198"/>
      <c r="J173" s="4198"/>
      <c r="K173" s="4198"/>
      <c r="L173" s="128"/>
      <c r="M173" s="4521" t="s">
        <v>6092</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2240</v>
      </c>
      <c r="M174" s="4508" t="s">
        <v>3288</v>
      </c>
      <c r="N174" s="4509"/>
      <c r="O174" s="4509"/>
      <c r="P174" s="4510"/>
      <c r="S174" s="1628"/>
      <c r="T174" s="1628"/>
      <c r="U174" s="1628"/>
    </row>
    <row r="175" spans="1:26" s="26" customFormat="1" ht="12.75" customHeight="1">
      <c r="B175" s="49" t="s">
        <v>2241</v>
      </c>
      <c r="C175" s="29" t="s">
        <v>3958</v>
      </c>
      <c r="D175" s="29"/>
      <c r="E175" s="29"/>
      <c r="F175" s="29"/>
      <c r="G175" s="29"/>
      <c r="H175" s="29"/>
      <c r="L175" s="49" t="s">
        <v>2241</v>
      </c>
      <c r="M175" s="4505" t="s">
        <v>3288</v>
      </c>
      <c r="N175" s="4506"/>
      <c r="O175" s="4506"/>
      <c r="P175" s="4507"/>
      <c r="S175" s="1628"/>
      <c r="T175" s="1628"/>
      <c r="U175" s="1628"/>
      <c r="V175" s="72"/>
      <c r="W175" s="72"/>
      <c r="X175" s="72"/>
      <c r="Y175" s="72"/>
      <c r="Z175" s="72"/>
    </row>
    <row r="176" spans="1:26" s="26" customFormat="1" ht="12.75" customHeight="1">
      <c r="B176" s="49" t="s">
        <v>2242</v>
      </c>
      <c r="C176" s="29" t="s">
        <v>6176</v>
      </c>
      <c r="D176" s="29"/>
      <c r="E176" s="29"/>
      <c r="F176" s="29"/>
      <c r="G176" s="29"/>
      <c r="H176" s="29"/>
      <c r="L176" s="49" t="s">
        <v>2242</v>
      </c>
      <c r="M176" s="4505" t="s">
        <v>3288</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2243</v>
      </c>
      <c r="C177" s="29" t="s">
        <v>6177</v>
      </c>
      <c r="D177" s="29"/>
      <c r="E177" s="29"/>
      <c r="F177" s="29"/>
      <c r="G177" s="29"/>
      <c r="L177" s="49" t="s">
        <v>2243</v>
      </c>
      <c r="M177" s="4558" t="s">
        <v>3288</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6253</v>
      </c>
      <c r="D179" s="108"/>
      <c r="E179" s="108"/>
      <c r="F179" s="108"/>
      <c r="G179" s="108"/>
      <c r="H179" s="108"/>
      <c r="I179" s="108"/>
      <c r="K179" s="935"/>
      <c r="L179" s="935"/>
      <c r="R179" s="1628"/>
      <c r="S179" s="1628"/>
      <c r="T179" s="1628"/>
      <c r="U179" s="1628"/>
    </row>
    <row r="180" spans="1:26">
      <c r="A180" s="396"/>
      <c r="B180" s="128" t="s">
        <v>2240</v>
      </c>
      <c r="C180" s="4198" t="s">
        <v>6180</v>
      </c>
      <c r="D180" s="4198"/>
      <c r="E180" s="4198"/>
      <c r="F180" s="4198"/>
      <c r="G180" s="4198"/>
      <c r="H180" s="4198"/>
      <c r="I180" s="4198"/>
      <c r="J180" s="4198"/>
      <c r="K180" s="4198"/>
      <c r="L180" s="4198"/>
      <c r="M180" s="1848">
        <v>1</v>
      </c>
      <c r="N180" s="128" t="s">
        <v>4078</v>
      </c>
      <c r="O180" s="1636"/>
      <c r="P180" s="1640"/>
      <c r="Q180" s="1212" t="str">
        <f>IF(OR($O180=$M180,$O180=0,$O180=""),"","*CHECK!*")</f>
        <v/>
      </c>
      <c r="R180" s="795" t="s">
        <v>4060</v>
      </c>
    </row>
    <row r="181" spans="1:26" ht="36.75" customHeight="1">
      <c r="A181" s="396"/>
      <c r="B181" s="117" t="s">
        <v>2241</v>
      </c>
      <c r="C181" s="4198" t="s">
        <v>6181</v>
      </c>
      <c r="D181" s="4198"/>
      <c r="E181" s="4198"/>
      <c r="F181" s="4198"/>
      <c r="G181" s="4198"/>
      <c r="H181" s="4198"/>
      <c r="I181" s="4198"/>
      <c r="J181" s="4198"/>
      <c r="K181" s="4198"/>
      <c r="L181" s="4198"/>
      <c r="M181" s="1848">
        <v>1</v>
      </c>
      <c r="N181" s="128" t="s">
        <v>6262</v>
      </c>
      <c r="O181" s="1657"/>
      <c r="P181" s="1658"/>
      <c r="Q181" s="1212" t="str">
        <f>IF(OR($O181=$M181,$O181=0,$O181=""),"","*CHECK!*")</f>
        <v/>
      </c>
      <c r="R181" s="795" t="s">
        <v>4060</v>
      </c>
    </row>
    <row r="182" spans="1:26" ht="12" customHeight="1">
      <c r="A182" s="396"/>
      <c r="B182" s="1607" t="s">
        <v>2242</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6212</v>
      </c>
      <c r="D193" s="26"/>
      <c r="G193" s="370"/>
      <c r="N193"/>
      <c r="O193" s="31"/>
      <c r="P193" s="31"/>
      <c r="Q193" s="241"/>
    </row>
    <row r="194" spans="1:24" s="1323" customFormat="1" ht="12.75" customHeight="1">
      <c r="B194" s="350" t="s">
        <v>1844</v>
      </c>
      <c r="C194" s="4198" t="s">
        <v>6209</v>
      </c>
      <c r="D194" s="4198"/>
      <c r="E194" s="4198"/>
      <c r="F194" s="4198"/>
      <c r="G194" s="4198"/>
      <c r="H194" s="4198"/>
      <c r="I194" s="4198"/>
      <c r="J194" s="4198"/>
      <c r="K194" s="4198"/>
      <c r="L194" s="4198"/>
      <c r="M194" s="884" t="s">
        <v>698</v>
      </c>
      <c r="N194" s="317" t="s">
        <v>1844</v>
      </c>
      <c r="O194" s="894"/>
      <c r="P194" s="893"/>
      <c r="Q194" s="947"/>
      <c r="V194" s="1599"/>
      <c r="W194" s="1599"/>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8" t="s">
        <v>6213</v>
      </c>
      <c r="D196" s="4198"/>
      <c r="E196" s="4198"/>
      <c r="F196" s="4198"/>
      <c r="G196" s="4198"/>
      <c r="H196" s="4198"/>
      <c r="I196" s="4198"/>
      <c r="J196" s="4198"/>
      <c r="K196" s="4198"/>
      <c r="L196" s="4198"/>
      <c r="M196" s="457"/>
      <c r="N196" s="317" t="s">
        <v>2332</v>
      </c>
      <c r="O196" s="896"/>
      <c r="P196" s="895"/>
      <c r="Q196" s="800"/>
      <c r="V196" s="942"/>
      <c r="W196" s="942"/>
    </row>
    <row r="197" spans="1:24" ht="11.65" customHeight="1">
      <c r="A197" s="107" t="s">
        <v>1962</v>
      </c>
      <c r="B197" s="141" t="s">
        <v>6211</v>
      </c>
      <c r="D197" s="26"/>
      <c r="G197" s="370"/>
      <c r="N197"/>
      <c r="O197" s="31"/>
      <c r="P197" s="31"/>
      <c r="Q197" s="241"/>
    </row>
    <row r="198" spans="1:24" s="1323" customFormat="1" ht="23.25" customHeight="1">
      <c r="B198" s="350" t="s">
        <v>1844</v>
      </c>
      <c r="C198" s="4198" t="s">
        <v>6214</v>
      </c>
      <c r="D198" s="4198"/>
      <c r="E198" s="4198"/>
      <c r="F198" s="4198"/>
      <c r="G198" s="4198"/>
      <c r="H198" s="4198"/>
      <c r="I198" s="4198"/>
      <c r="J198" s="4198"/>
      <c r="K198" s="4198"/>
      <c r="L198" s="4198"/>
      <c r="M198" s="884" t="s">
        <v>1962</v>
      </c>
      <c r="N198" s="317" t="s">
        <v>1844</v>
      </c>
      <c r="O198" s="894"/>
      <c r="P198" s="893"/>
      <c r="Q198" s="947"/>
      <c r="V198" s="1599"/>
      <c r="W198" s="1599"/>
    </row>
    <row r="199" spans="1:24" s="26" customFormat="1" ht="23.25" customHeight="1">
      <c r="A199" s="396"/>
      <c r="B199" s="350" t="s">
        <v>1846</v>
      </c>
      <c r="C199" s="4198" t="s">
        <v>6255</v>
      </c>
      <c r="D199" s="4198"/>
      <c r="E199" s="4198"/>
      <c r="F199" s="4198"/>
      <c r="G199" s="4198"/>
      <c r="H199" s="4198"/>
      <c r="I199" s="4198"/>
      <c r="J199" s="4198"/>
      <c r="K199" s="4198"/>
      <c r="L199" s="4198"/>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3824</v>
      </c>
      <c r="D207" s="38"/>
      <c r="E207" s="38"/>
      <c r="K207" s="1321"/>
      <c r="M207" s="458">
        <v>5</v>
      </c>
      <c r="N207" s="48" t="s">
        <v>1841</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535" t="s">
        <v>3205</v>
      </c>
      <c r="K208" s="4536"/>
      <c r="L208" s="4537"/>
      <c r="M208" s="4538"/>
      <c r="N208" s="53"/>
      <c r="R208" s="86"/>
      <c r="S208" s="70"/>
    </row>
    <row r="209" spans="1:27" ht="12.75" customHeight="1">
      <c r="C209" s="685" t="s">
        <v>6257</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30"/>
      <c r="T211" s="1630"/>
      <c r="U211" s="1630"/>
    </row>
    <row r="212" spans="1:27">
      <c r="C212" s="1638" t="s">
        <v>6221</v>
      </c>
      <c r="E212" s="4714" t="s">
        <v>6220</v>
      </c>
      <c r="F212" s="4714"/>
      <c r="G212" s="4714"/>
      <c r="H212" s="4714"/>
      <c r="I212" s="1203" t="s">
        <v>6247</v>
      </c>
      <c r="J212" s="4714" t="s">
        <v>6220</v>
      </c>
      <c r="K212" s="4714"/>
      <c r="L212" s="4714"/>
      <c r="M212" s="4714"/>
      <c r="N212"/>
      <c r="O212"/>
      <c r="P212"/>
    </row>
    <row r="213" spans="1:27" ht="13.5" customHeight="1">
      <c r="B213" s="400"/>
      <c r="C213" s="29" t="s">
        <v>6218</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6219</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6216</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6217</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3153</v>
      </c>
      <c r="H226" s="1191">
        <f>IF('Part V-Revenues &amp; Expenses'!$P$67=0,0,'Part V-Revenues &amp; Expenses'!$P$64/'Part V-Revenues &amp; Expenses'!$P$67)</f>
        <v>0</v>
      </c>
      <c r="J226" s="370" t="s">
        <v>3961</v>
      </c>
      <c r="K226" s="4592" t="str">
        <f>'Part V-Revenues &amp; Expenses'!$O$53</f>
        <v>40% of Units at 60% of AMI</v>
      </c>
      <c r="L226" s="4593"/>
      <c r="M226" s="31"/>
      <c r="N226" s="119"/>
      <c r="O226" s="24"/>
      <c r="P226" s="3"/>
    </row>
    <row r="227" spans="1:24" ht="12" customHeight="1">
      <c r="A227" s="686" t="s">
        <v>1841</v>
      </c>
      <c r="B227" s="67" t="s">
        <v>3959</v>
      </c>
      <c r="C227" s="44"/>
      <c r="E227" s="236" t="s">
        <v>3960</v>
      </c>
      <c r="M227" s="458">
        <v>1</v>
      </c>
      <c r="N227" s="48" t="s">
        <v>1841</v>
      </c>
      <c r="O227" s="1324"/>
      <c r="P227" s="1325"/>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3264</v>
      </c>
      <c r="D235" s="372"/>
      <c r="E235" s="372"/>
      <c r="F235" s="372"/>
      <c r="G235" s="372"/>
      <c r="H235" s="372"/>
      <c r="L235" s="372"/>
      <c r="M235" s="4583"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3265</v>
      </c>
      <c r="D236" s="372"/>
      <c r="L236" s="372"/>
      <c r="M236" s="4583"/>
      <c r="N236" s="48" t="s">
        <v>1843</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1.25">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3"/>
      <c r="H244" s="48" t="s">
        <v>574</v>
      </c>
      <c r="I244" s="4710"/>
      <c r="J244" s="4710"/>
      <c r="L244" s="1662" t="s">
        <v>6261</v>
      </c>
      <c r="M244" s="4711"/>
      <c r="N244" s="4711"/>
    </row>
    <row r="245" spans="1:27" s="32" customFormat="1" ht="11.25" customHeight="1">
      <c r="A245" s="306"/>
      <c r="B245" s="350" t="s">
        <v>1846</v>
      </c>
      <c r="C245" s="29" t="s">
        <v>6260</v>
      </c>
      <c r="E245" s="33" t="s">
        <v>3311</v>
      </c>
      <c r="G245" s="1644"/>
      <c r="H245" s="48" t="s">
        <v>574</v>
      </c>
      <c r="I245" s="4584"/>
      <c r="J245" s="4584"/>
      <c r="L245" s="1662" t="s">
        <v>6261</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1841</v>
      </c>
      <c r="B253" s="141" t="s">
        <v>6266</v>
      </c>
      <c r="M253" s="458">
        <v>5</v>
      </c>
      <c r="N253" s="48" t="s">
        <v>1841</v>
      </c>
      <c r="O253" s="1646"/>
      <c r="P253" s="901"/>
      <c r="Q253" s="798" t="str">
        <f>IF(OR($O253=$M253,$O253=$M253-1,$O253=0,$O253=""),"","*CHECK!*")</f>
        <v/>
      </c>
      <c r="R253" s="795" t="s">
        <v>4060</v>
      </c>
      <c r="S253" s="1645"/>
      <c r="T253" s="1645"/>
      <c r="U253" s="1645"/>
      <c r="V253" s="1645"/>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5" t="s">
        <v>6617</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6618</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6232</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6576</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6693</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6695</v>
      </c>
      <c r="G289" s="147"/>
      <c r="I289" s="4552" t="s">
        <v>6696</v>
      </c>
      <c r="J289" s="4553"/>
      <c r="K289" s="4554"/>
      <c r="L289" s="4555"/>
      <c r="M289" s="456"/>
      <c r="O289" s="4556" t="s">
        <v>3150</v>
      </c>
      <c r="P289" s="4556" t="s">
        <v>3151</v>
      </c>
      <c r="Q289" s="86"/>
      <c r="R289" s="1630"/>
      <c r="S289" s="1630"/>
      <c r="T289" s="1630"/>
      <c r="U289" s="1630"/>
      <c r="V289" s="1630"/>
      <c r="W289" s="36"/>
      <c r="X289" s="36"/>
    </row>
    <row r="290" spans="1:24" s="36" customFormat="1" ht="11.25" customHeight="1">
      <c r="A290" s="120"/>
      <c r="B290" s="29" t="s">
        <v>6583</v>
      </c>
      <c r="D290" s="34"/>
      <c r="H290" s="141"/>
      <c r="M290" s="119"/>
      <c r="N290" s="48"/>
      <c r="O290" s="4557"/>
      <c r="P290" s="4557"/>
      <c r="Q290" s="86"/>
      <c r="R290" s="879"/>
      <c r="S290" s="879"/>
      <c r="T290" s="879"/>
      <c r="U290" s="879"/>
    </row>
    <row r="291" spans="1:24" s="36" customFormat="1" ht="11.25" customHeight="1">
      <c r="A291" s="1918"/>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8" t="s">
        <v>6589</v>
      </c>
      <c r="D296" s="4198"/>
      <c r="E296" s="4198"/>
      <c r="F296" s="4198"/>
      <c r="G296" s="4198"/>
      <c r="H296" s="4198"/>
      <c r="I296" s="4198"/>
      <c r="J296" s="4198"/>
      <c r="K296" s="4198"/>
      <c r="L296" s="4198"/>
      <c r="M296" s="4198"/>
      <c r="N296" s="150" t="s">
        <v>1844</v>
      </c>
      <c r="O296" s="1287"/>
      <c r="P296" s="1288"/>
      <c r="Q296" s="331"/>
      <c r="R296" s="1840"/>
      <c r="S296" s="1840"/>
      <c r="T296" s="1840"/>
      <c r="U296" s="1840"/>
    </row>
    <row r="297" spans="1:24" s="332" customFormat="1" ht="21.75" customHeight="1" thickBot="1">
      <c r="A297" s="1608"/>
      <c r="B297" s="350" t="s">
        <v>1846</v>
      </c>
      <c r="C297" s="4198" t="s">
        <v>6590</v>
      </c>
      <c r="D297" s="4198"/>
      <c r="E297" s="4198"/>
      <c r="F297" s="4198"/>
      <c r="G297" s="4198"/>
      <c r="H297" s="4198"/>
      <c r="I297" s="4198"/>
      <c r="J297" s="4198"/>
      <c r="K297" s="4198"/>
      <c r="L297" s="4198"/>
      <c r="M297" s="4198"/>
      <c r="N297" s="150" t="s">
        <v>1846</v>
      </c>
      <c r="O297" s="896"/>
      <c r="P297" s="895"/>
      <c r="Q297" s="331"/>
      <c r="R297" s="1840"/>
      <c r="S297" s="1840"/>
      <c r="T297" s="1840"/>
      <c r="U297" s="1840"/>
    </row>
    <row r="298" spans="1:24" ht="11.25" customHeight="1" thickBot="1">
      <c r="A298" s="686" t="s">
        <v>1843</v>
      </c>
      <c r="B298" s="885" t="s">
        <v>6581</v>
      </c>
      <c r="D298" s="372"/>
      <c r="G298" s="44" t="s">
        <v>6591</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8" t="s">
        <v>6592</v>
      </c>
      <c r="D299" s="4198"/>
      <c r="E299" s="4198"/>
      <c r="F299" s="4198"/>
      <c r="G299" s="4198"/>
      <c r="H299" s="4198"/>
      <c r="I299" s="4198"/>
      <c r="J299" s="4198"/>
      <c r="K299" s="4198"/>
      <c r="L299" s="4198"/>
      <c r="M299" s="4198"/>
      <c r="N299" s="150" t="s">
        <v>1844</v>
      </c>
      <c r="O299" s="1287"/>
      <c r="P299" s="1288"/>
      <c r="Q299" s="331"/>
      <c r="R299" s="1840"/>
      <c r="S299" s="1840"/>
      <c r="T299" s="1840"/>
      <c r="U299" s="1840"/>
    </row>
    <row r="300" spans="1:24" s="332" customFormat="1" ht="10.5" customHeight="1">
      <c r="A300" s="1608"/>
      <c r="B300" s="350" t="s">
        <v>1846</v>
      </c>
      <c r="C300" s="4198" t="s">
        <v>6593</v>
      </c>
      <c r="D300" s="4198"/>
      <c r="E300" s="4198"/>
      <c r="F300" s="4198"/>
      <c r="G300" s="4198"/>
      <c r="H300" s="4198"/>
      <c r="I300" s="4198"/>
      <c r="J300" s="4198"/>
      <c r="K300" s="4198"/>
      <c r="L300" s="4198"/>
      <c r="M300" s="4198"/>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8" t="s">
        <v>6596</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6586</v>
      </c>
      <c r="D311" s="372"/>
      <c r="E311" s="372" t="s">
        <v>6597</v>
      </c>
      <c r="F311" s="372"/>
      <c r="G311" s="372"/>
      <c r="H311" s="372"/>
      <c r="I311" s="4707"/>
      <c r="J311" s="4708"/>
      <c r="K311" s="4708"/>
      <c r="L311" s="470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6587</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4079</v>
      </c>
      <c r="K320" s="1605">
        <f>'Part VIII Scoring Criteria OLD'!P42</f>
        <v>0</v>
      </c>
      <c r="M320" s="458">
        <v>2</v>
      </c>
      <c r="N320" s="48" t="s">
        <v>1841</v>
      </c>
      <c r="P320" s="416"/>
      <c r="Q320" s="86"/>
      <c r="R320" s="867" t="s">
        <v>2459</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3154</v>
      </c>
      <c r="D335" s="67"/>
      <c r="E335" s="67"/>
      <c r="G335" s="29"/>
      <c r="I335" s="3537" t="s">
        <v>6061</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2" t="str">
        <f>IF(OR(O344="No",O344="",O345="No",O345="",O346="No",O346="",O347="No",O347=""),"Unmet criterion results in no points!","")</f>
        <v>Unmet criterion results in no points!</v>
      </c>
      <c r="M344" s="4582"/>
      <c r="N344" s="49" t="s">
        <v>2240</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2241</v>
      </c>
      <c r="C345" s="29" t="s">
        <v>3276</v>
      </c>
      <c r="L345" s="4582"/>
      <c r="M345" s="4582"/>
      <c r="N345" s="49" t="s">
        <v>2241</v>
      </c>
      <c r="O345" s="299"/>
      <c r="P345" s="420"/>
      <c r="R345" s="4578"/>
      <c r="S345" s="4578"/>
    </row>
    <row r="346" spans="1:20" s="79" customFormat="1" ht="12.75" customHeight="1">
      <c r="B346" s="49" t="s">
        <v>2242</v>
      </c>
      <c r="C346" s="29" t="s">
        <v>3275</v>
      </c>
      <c r="L346" s="4582"/>
      <c r="M346" s="4582"/>
      <c r="N346" s="49" t="s">
        <v>2242</v>
      </c>
      <c r="O346" s="299"/>
      <c r="P346" s="420"/>
      <c r="R346" s="4578"/>
      <c r="S346" s="4578"/>
    </row>
    <row r="347" spans="1:20" s="79" customFormat="1" ht="33.75" customHeight="1">
      <c r="B347" s="117" t="s">
        <v>2243</v>
      </c>
      <c r="C347" s="4198" t="s">
        <v>6598</v>
      </c>
      <c r="D347" s="4198"/>
      <c r="E347" s="4198"/>
      <c r="F347" s="4198"/>
      <c r="G347" s="4198"/>
      <c r="H347" s="4198"/>
      <c r="I347" s="4198"/>
      <c r="J347" s="4198"/>
      <c r="K347" s="4198"/>
      <c r="L347" s="4198"/>
      <c r="M347" s="4198"/>
      <c r="N347" s="117" t="s">
        <v>2243</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75" t="s">
        <v>1848</v>
      </c>
      <c r="K351" s="4575"/>
      <c r="M351" s="4575" t="s">
        <v>1848</v>
      </c>
      <c r="N351" s="4575"/>
      <c r="O351" s="4575"/>
      <c r="P351" s="4575"/>
      <c r="R351" s="1836"/>
      <c r="S351" s="1836"/>
      <c r="T351" s="1426"/>
    </row>
    <row r="352" spans="1:20" s="36" customFormat="1" ht="12.75" customHeight="1">
      <c r="A352" s="151"/>
      <c r="B352" s="150" t="s">
        <v>6600</v>
      </c>
      <c r="C352" s="29" t="s">
        <v>1388</v>
      </c>
      <c r="I352" s="49" t="s">
        <v>2240</v>
      </c>
      <c r="J352" s="4666"/>
      <c r="K352" s="4667"/>
      <c r="L352" s="49" t="s">
        <v>2240</v>
      </c>
      <c r="M352" s="4532"/>
      <c r="N352" s="4533"/>
      <c r="O352" s="4533"/>
      <c r="P352" s="4534"/>
      <c r="R352" s="307"/>
    </row>
    <row r="353" spans="1:18" ht="12.75" customHeight="1">
      <c r="A353" s="152"/>
      <c r="B353" s="117" t="s">
        <v>2241</v>
      </c>
      <c r="C353" s="29" t="s">
        <v>3156</v>
      </c>
      <c r="I353" s="117" t="s">
        <v>2241</v>
      </c>
      <c r="J353" s="4527"/>
      <c r="K353" s="4528"/>
      <c r="L353" s="117" t="s">
        <v>2241</v>
      </c>
      <c r="M353" s="4529"/>
      <c r="N353" s="4530"/>
      <c r="O353" s="4530"/>
      <c r="P353" s="4531"/>
      <c r="R353" s="307"/>
    </row>
    <row r="354" spans="1:18" ht="12.75" customHeight="1">
      <c r="B354" s="49" t="s">
        <v>2242</v>
      </c>
      <c r="C354" s="29" t="s">
        <v>3955</v>
      </c>
      <c r="I354" s="49" t="s">
        <v>2242</v>
      </c>
      <c r="J354" s="4527"/>
      <c r="K354" s="4528"/>
      <c r="L354" s="49" t="s">
        <v>2242</v>
      </c>
      <c r="M354" s="4529"/>
      <c r="N354" s="4530"/>
      <c r="O354" s="4530"/>
      <c r="P354" s="4531"/>
      <c r="R354" s="307"/>
    </row>
    <row r="355" spans="1:18" ht="12.75" customHeight="1">
      <c r="A355" s="152"/>
      <c r="B355" s="49" t="s">
        <v>2243</v>
      </c>
      <c r="C355" s="29" t="s">
        <v>3071</v>
      </c>
      <c r="I355" s="49" t="s">
        <v>2243</v>
      </c>
      <c r="J355" s="4527"/>
      <c r="K355" s="4528"/>
      <c r="L355" s="49" t="s">
        <v>2243</v>
      </c>
      <c r="M355" s="4529"/>
      <c r="N355" s="4530"/>
      <c r="O355" s="4530"/>
      <c r="P355" s="4531"/>
      <c r="R355" s="307"/>
    </row>
    <row r="356" spans="1:18" s="36" customFormat="1" ht="12.75" customHeight="1">
      <c r="A356" s="151"/>
      <c r="B356" s="117" t="s">
        <v>2244</v>
      </c>
      <c r="C356" s="29" t="s">
        <v>2473</v>
      </c>
      <c r="I356" s="117" t="s">
        <v>2244</v>
      </c>
      <c r="J356" s="4527"/>
      <c r="K356" s="4528"/>
      <c r="L356" s="117" t="s">
        <v>2244</v>
      </c>
      <c r="M356" s="4529"/>
      <c r="N356" s="4530"/>
      <c r="O356" s="4530"/>
      <c r="P356" s="4531"/>
      <c r="R356" s="307"/>
    </row>
    <row r="357" spans="1:18" ht="12.75" customHeight="1">
      <c r="B357" s="49" t="s">
        <v>2260</v>
      </c>
      <c r="C357" s="29" t="s">
        <v>1387</v>
      </c>
      <c r="I357" s="49" t="s">
        <v>2260</v>
      </c>
      <c r="J357" s="4527"/>
      <c r="K357" s="4528"/>
      <c r="L357" s="49" t="s">
        <v>2260</v>
      </c>
      <c r="M357" s="4529"/>
      <c r="N357" s="4530"/>
      <c r="O357" s="4530"/>
      <c r="P357" s="4531"/>
      <c r="R357" s="307"/>
    </row>
    <row r="358" spans="1:18" ht="12.75" customHeight="1">
      <c r="B358" s="49" t="s">
        <v>2261</v>
      </c>
      <c r="C358" s="29" t="s">
        <v>6234</v>
      </c>
      <c r="I358" s="49" t="s">
        <v>2261</v>
      </c>
      <c r="J358" s="4527"/>
      <c r="K358" s="4528"/>
      <c r="L358" s="49" t="s">
        <v>2261</v>
      </c>
      <c r="M358" s="1601"/>
      <c r="N358" s="1602"/>
      <c r="O358" s="1602"/>
      <c r="P358" s="1603"/>
      <c r="R358" s="307"/>
    </row>
    <row r="359" spans="1:18" ht="12.75" customHeight="1">
      <c r="A359" s="152"/>
      <c r="B359" s="48" t="s">
        <v>2262</v>
      </c>
      <c r="C359" s="29" t="s">
        <v>3155</v>
      </c>
      <c r="I359" s="48" t="s">
        <v>2262</v>
      </c>
      <c r="J359" s="4527"/>
      <c r="K359" s="4528"/>
      <c r="L359" s="48" t="s">
        <v>2262</v>
      </c>
      <c r="M359" s="4529"/>
      <c r="N359" s="4530"/>
      <c r="O359" s="4530"/>
      <c r="P359" s="4531"/>
      <c r="R359" s="307"/>
    </row>
    <row r="360" spans="1:18" ht="12.75" customHeight="1">
      <c r="B360" s="48" t="s">
        <v>2263</v>
      </c>
      <c r="C360" s="29" t="s">
        <v>6601</v>
      </c>
      <c r="I360" s="48" t="s">
        <v>2263</v>
      </c>
      <c r="J360" s="4527"/>
      <c r="K360" s="4528"/>
      <c r="L360" s="48" t="s">
        <v>2263</v>
      </c>
      <c r="M360" s="4529"/>
      <c r="N360" s="4530"/>
      <c r="O360" s="4530"/>
      <c r="P360" s="4531"/>
      <c r="R360" s="307"/>
    </row>
    <row r="361" spans="1:18" ht="12.75" customHeight="1">
      <c r="B361" s="48" t="s">
        <v>3157</v>
      </c>
      <c r="C361" s="29" t="s">
        <v>3827</v>
      </c>
      <c r="I361" s="48" t="s">
        <v>3157</v>
      </c>
      <c r="J361" s="4527"/>
      <c r="K361" s="4528"/>
      <c r="L361" s="48" t="s">
        <v>3157</v>
      </c>
      <c r="M361" s="4529"/>
      <c r="N361" s="4530"/>
      <c r="O361" s="4530"/>
      <c r="P361" s="4531"/>
      <c r="R361" s="307"/>
    </row>
    <row r="362" spans="1:18" ht="12.75" customHeight="1" thickBot="1">
      <c r="B362" s="48" t="s">
        <v>6235</v>
      </c>
      <c r="C362" s="29" t="s">
        <v>6236</v>
      </c>
      <c r="I362" s="48" t="s">
        <v>6235</v>
      </c>
      <c r="J362" s="4527"/>
      <c r="K362" s="4528"/>
      <c r="L362" s="48" t="s">
        <v>6235</v>
      </c>
      <c r="M362" s="4568"/>
      <c r="N362" s="4569"/>
      <c r="O362" s="4569"/>
      <c r="P362" s="4570"/>
      <c r="R362" s="307"/>
    </row>
    <row r="363" spans="1:18" ht="12.75" customHeight="1" thickBot="1">
      <c r="B363" s="919" t="s">
        <v>6602</v>
      </c>
      <c r="H363" s="89" t="s">
        <v>2413</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544">
        <f>'Part V-Revenues &amp; Expenses'!$P$67</f>
        <v>135</v>
      </c>
      <c r="K365" s="4545"/>
      <c r="L365" s="430"/>
      <c r="M365" s="393"/>
      <c r="N365" s="393"/>
      <c r="O365" s="881"/>
      <c r="P365" s="393"/>
    </row>
    <row r="366" spans="1:18" ht="13.5" customHeight="1">
      <c r="C366" s="230"/>
      <c r="D366" s="230"/>
      <c r="E366" s="230"/>
      <c r="F366" s="349" t="s">
        <v>6238</v>
      </c>
      <c r="J366" s="4542">
        <f>IF(J365=0,0,J363/J365)</f>
        <v>0</v>
      </c>
      <c r="K366" s="4543"/>
      <c r="M366" s="4668">
        <f>IF($J365=0,0,$M363/$J365)</f>
        <v>0</v>
      </c>
      <c r="N366" s="4669"/>
      <c r="O366" s="4669"/>
      <c r="P366" s="4670"/>
    </row>
    <row r="367" spans="1:18" s="36" customFormat="1" ht="12.75" customHeight="1">
      <c r="C367" s="230"/>
      <c r="D367" s="230"/>
      <c r="E367" s="230"/>
      <c r="F367" s="44" t="s">
        <v>6239</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198" t="s">
        <v>6603</v>
      </c>
      <c r="D370" s="4198"/>
      <c r="E370" s="4198"/>
      <c r="F370" s="4198"/>
      <c r="G370" s="4198"/>
      <c r="H370" s="4198"/>
      <c r="I370" s="4198"/>
      <c r="J370" s="4198"/>
      <c r="K370" s="4198"/>
      <c r="L370" s="4198"/>
      <c r="M370" s="4198"/>
      <c r="N370" s="374" t="s">
        <v>1844</v>
      </c>
      <c r="O370" s="838"/>
      <c r="P370" s="1590"/>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3242</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2469</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3887</v>
      </c>
      <c r="E380" s="3538"/>
      <c r="F380" s="3538"/>
      <c r="G380" s="3538"/>
      <c r="H380" s="3538"/>
      <c r="I380" s="3539"/>
      <c r="J380" s="108" t="s">
        <v>2519</v>
      </c>
      <c r="L380" s="410">
        <f>'Part II-Sources of Funds'!$I$53</f>
        <v>1767660.3193889847</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8">
        <v>2</v>
      </c>
      <c r="N382" s="128" t="s">
        <v>1841</v>
      </c>
      <c r="O382" s="459"/>
      <c r="P382" s="1078"/>
      <c r="Q382" s="798" t="str">
        <f>IF(OR($O382=$M382,$O382=0,$O382=""),"","*CHECK!*")</f>
        <v/>
      </c>
      <c r="R382" s="795" t="s">
        <v>4060</v>
      </c>
    </row>
    <row r="383" spans="1:22" s="332" customFormat="1" ht="12" customHeight="1">
      <c r="A383" s="331"/>
      <c r="B383" s="4355" t="s">
        <v>6604</v>
      </c>
      <c r="C383" s="4355"/>
      <c r="D383" s="4355"/>
      <c r="E383" s="4355"/>
      <c r="F383" s="4355"/>
      <c r="G383" s="4355"/>
      <c r="H383" s="4355"/>
      <c r="I383" s="4355"/>
      <c r="J383" s="4355"/>
      <c r="K383" s="4355"/>
      <c r="L383" s="4355"/>
      <c r="M383" s="4567" t="s">
        <v>3888</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135</v>
      </c>
      <c r="P384" s="4574"/>
      <c r="Q384" s="147"/>
    </row>
    <row r="385" spans="1:19" s="332" customFormat="1" ht="12" customHeight="1">
      <c r="B385" s="4355"/>
      <c r="C385" s="4355"/>
      <c r="D385" s="4355"/>
      <c r="E385" s="4355"/>
      <c r="F385" s="4355"/>
      <c r="G385" s="4355"/>
      <c r="H385" s="4355"/>
      <c r="I385" s="4355"/>
      <c r="J385" s="4355"/>
      <c r="K385" s="4355"/>
      <c r="L385" s="4355"/>
      <c r="M385" s="241" t="s">
        <v>2517</v>
      </c>
      <c r="N385" s="333"/>
      <c r="O385" s="4571">
        <f>'Part V-Revenues &amp; Expenses'!$P$67</f>
        <v>135</v>
      </c>
      <c r="P385" s="4572"/>
      <c r="Q385" s="147"/>
    </row>
    <row r="386" spans="1:19" s="332" customFormat="1" ht="12" customHeight="1">
      <c r="B386" s="4564"/>
      <c r="C386" s="4564"/>
      <c r="D386" s="4564"/>
      <c r="E386" s="4564"/>
      <c r="F386" s="4564"/>
      <c r="G386" s="4564"/>
      <c r="H386" s="4564"/>
      <c r="I386" s="4564"/>
      <c r="J386" s="4564"/>
      <c r="K386" s="4564"/>
      <c r="L386" s="4564"/>
      <c r="M386" s="1194" t="s">
        <v>2518</v>
      </c>
      <c r="N386" s="333"/>
      <c r="O386" s="4565">
        <f>IF(O385=0,0,O384/O385)</f>
        <v>1</v>
      </c>
      <c r="P386" s="4566"/>
      <c r="Q386" s="147"/>
    </row>
    <row r="387" spans="1:19" s="36" customFormat="1" ht="105.75" customHeight="1">
      <c r="A387" s="411"/>
      <c r="B387" s="4344" t="s">
        <v>3416</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2517</v>
      </c>
      <c r="J391" s="410">
        <f>'Part V-Revenues &amp; Expenses'!$P$67</f>
        <v>135</v>
      </c>
      <c r="K391" s="1846" t="s">
        <v>2518</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6609</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6610</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2459</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2459</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6134</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6135</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6746</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7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6700</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15"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3253</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1" t="s">
        <v>1407</v>
      </c>
      <c r="H466" s="4661"/>
      <c r="I466" s="4661"/>
      <c r="J466" s="68" t="s">
        <v>3024</v>
      </c>
      <c r="K466" s="68"/>
      <c r="L466" s="68"/>
      <c r="M466" s="68"/>
      <c r="N466" s="882"/>
      <c r="O466" s="2407">
        <v>2</v>
      </c>
      <c r="P466" s="2407"/>
      <c r="Q466" s="68"/>
    </row>
    <row r="467" spans="1:17" s="115" customFormat="1">
      <c r="C467" s="68"/>
      <c r="D467" s="68"/>
      <c r="E467" s="68"/>
      <c r="F467" s="68"/>
      <c r="G467" s="1848" t="s">
        <v>4065</v>
      </c>
      <c r="H467" s="68" t="s">
        <v>4066</v>
      </c>
      <c r="I467" s="1848" t="s">
        <v>4064</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3251</v>
      </c>
      <c r="K468" s="68"/>
      <c r="L468" s="1508"/>
      <c r="M468" s="68"/>
      <c r="N468" s="882"/>
      <c r="O468" s="2407">
        <v>2</v>
      </c>
      <c r="P468" s="2407"/>
      <c r="Q468" s="68"/>
    </row>
    <row r="469" spans="1:17" s="115" customFormat="1">
      <c r="C469" s="503"/>
      <c r="D469" s="68"/>
      <c r="E469" s="68"/>
      <c r="F469" s="68"/>
      <c r="G469" s="1508" t="s">
        <v>436</v>
      </c>
      <c r="H469" s="882" t="s">
        <v>4068</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4067</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4067</v>
      </c>
      <c r="J472" s="68" t="s">
        <v>3252</v>
      </c>
      <c r="K472" s="68"/>
      <c r="L472" s="503"/>
      <c r="M472" s="68"/>
      <c r="N472" s="882"/>
      <c r="O472" s="2407">
        <v>1</v>
      </c>
      <c r="P472" s="2407"/>
      <c r="Q472" s="68"/>
    </row>
    <row r="473" spans="1:17" s="115" customFormat="1">
      <c r="C473" s="503"/>
      <c r="D473" s="68"/>
      <c r="E473" s="68"/>
      <c r="F473" s="68"/>
      <c r="G473" s="1508" t="s">
        <v>3274</v>
      </c>
      <c r="H473" s="882">
        <v>2019</v>
      </c>
      <c r="I473" s="882" t="s">
        <v>4067</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4067</v>
      </c>
      <c r="J475" s="68" t="s">
        <v>3030</v>
      </c>
      <c r="K475" s="68"/>
      <c r="L475" s="503"/>
      <c r="M475" s="68"/>
      <c r="N475" s="882"/>
      <c r="O475" s="2407">
        <v>1</v>
      </c>
      <c r="P475" s="2407"/>
      <c r="Q475" s="68"/>
    </row>
    <row r="476" spans="1:17" s="115" customFormat="1">
      <c r="C476" s="503"/>
      <c r="D476" s="68"/>
      <c r="E476" s="68"/>
      <c r="F476" s="68"/>
      <c r="G476" s="1508" t="s">
        <v>1909</v>
      </c>
      <c r="H476" s="882" t="s">
        <v>4068</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4068</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4067</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4068</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4067</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4067</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4067</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4067</v>
      </c>
      <c r="J483" s="400" t="s">
        <v>3262</v>
      </c>
      <c r="K483" s="68"/>
      <c r="L483" s="503"/>
      <c r="M483" s="68"/>
      <c r="N483" s="882"/>
      <c r="O483" s="2407"/>
      <c r="P483" s="2407"/>
      <c r="Q483" s="68"/>
    </row>
    <row r="484" spans="1:17" s="115" customFormat="1">
      <c r="A484" s="108" t="s">
        <v>2514</v>
      </c>
      <c r="C484" s="68"/>
      <c r="D484" s="503"/>
      <c r="E484" s="503"/>
      <c r="F484" s="68"/>
      <c r="G484" s="1508" t="s">
        <v>395</v>
      </c>
      <c r="H484" s="882">
        <v>2019</v>
      </c>
      <c r="I484" s="882" t="s">
        <v>4067</v>
      </c>
      <c r="J484" s="68" t="s">
        <v>3338</v>
      </c>
      <c r="K484" s="68"/>
      <c r="L484" s="503"/>
      <c r="M484" s="68"/>
      <c r="N484" s="882"/>
      <c r="O484" s="2407"/>
      <c r="P484" s="2407"/>
      <c r="Q484" s="68"/>
    </row>
    <row r="485" spans="1:17" s="115" customFormat="1">
      <c r="C485" s="503"/>
      <c r="D485" s="68"/>
      <c r="E485" s="68"/>
      <c r="F485" s="68"/>
      <c r="G485" s="1508" t="s">
        <v>921</v>
      </c>
      <c r="H485" s="882">
        <v>2020</v>
      </c>
      <c r="I485" s="882" t="s">
        <v>4067</v>
      </c>
      <c r="J485" s="68" t="s">
        <v>3333</v>
      </c>
      <c r="K485" s="68"/>
      <c r="L485" s="503"/>
      <c r="M485" s="68"/>
      <c r="N485" s="882"/>
      <c r="O485" s="2407"/>
      <c r="P485" s="2407"/>
      <c r="Q485" s="68"/>
    </row>
    <row r="486" spans="1:17" s="115" customFormat="1">
      <c r="C486" s="503"/>
      <c r="D486" s="68"/>
      <c r="E486" s="68"/>
      <c r="F486" s="68"/>
      <c r="G486" s="1508" t="s">
        <v>532</v>
      </c>
      <c r="H486" s="882">
        <v>2020</v>
      </c>
      <c r="I486" s="882" t="s">
        <v>4067</v>
      </c>
      <c r="J486" s="68" t="s">
        <v>3255</v>
      </c>
      <c r="K486" s="68"/>
      <c r="L486" s="503"/>
      <c r="M486" s="68"/>
      <c r="N486" s="882"/>
      <c r="O486" s="2407"/>
      <c r="P486" s="2407"/>
      <c r="Q486" s="68"/>
    </row>
    <row r="487" spans="1:17" s="115" customFormat="1">
      <c r="C487" s="503"/>
      <c r="D487" s="68"/>
      <c r="E487" s="68"/>
      <c r="F487" s="68"/>
      <c r="G487" s="1508" t="s">
        <v>809</v>
      </c>
      <c r="H487" s="882" t="s">
        <v>4068</v>
      </c>
      <c r="I487" s="1848" t="s">
        <v>2453</v>
      </c>
      <c r="J487" s="68" t="s">
        <v>3329</v>
      </c>
      <c r="K487" s="68"/>
      <c r="L487" s="503"/>
      <c r="M487" s="68"/>
      <c r="N487" s="882"/>
      <c r="O487" s="2407"/>
      <c r="P487" s="2407"/>
      <c r="Q487" s="68"/>
    </row>
    <row r="488" spans="1:17" s="115" customFormat="1">
      <c r="C488" s="503"/>
      <c r="D488" s="68"/>
      <c r="E488" s="68"/>
      <c r="F488" s="68"/>
      <c r="G488" s="1508" t="s">
        <v>3019</v>
      </c>
      <c r="H488" s="882">
        <v>2019</v>
      </c>
      <c r="I488" s="882" t="s">
        <v>4067</v>
      </c>
      <c r="J488" s="68" t="s">
        <v>3256</v>
      </c>
      <c r="K488" s="68"/>
      <c r="L488" s="503"/>
      <c r="M488" s="68"/>
      <c r="N488" s="882"/>
      <c r="O488" s="2407"/>
      <c r="P488" s="2407"/>
      <c r="Q488" s="68"/>
    </row>
    <row r="489" spans="1:17" s="115" customFormat="1">
      <c r="C489" s="68"/>
      <c r="D489" s="68"/>
      <c r="E489" s="68"/>
      <c r="F489" s="68"/>
      <c r="G489" s="1508" t="s">
        <v>764</v>
      </c>
      <c r="H489" s="882">
        <v>2019</v>
      </c>
      <c r="I489" s="882" t="s">
        <v>4067</v>
      </c>
      <c r="J489" s="68" t="s">
        <v>3330</v>
      </c>
      <c r="K489" s="68"/>
      <c r="L489" s="503"/>
      <c r="M489" s="68"/>
      <c r="N489" s="882"/>
      <c r="O489" s="2407"/>
      <c r="P489" s="2407"/>
      <c r="Q489" s="68"/>
    </row>
    <row r="490" spans="1:17" s="115" customFormat="1">
      <c r="C490" s="68"/>
      <c r="D490" s="68"/>
      <c r="E490" s="68"/>
      <c r="F490" s="68"/>
      <c r="G490" s="1508" t="s">
        <v>172</v>
      </c>
      <c r="H490" s="882">
        <v>2019</v>
      </c>
      <c r="I490" s="882" t="s">
        <v>4067</v>
      </c>
      <c r="J490" s="68" t="s">
        <v>3257</v>
      </c>
      <c r="K490" s="68"/>
      <c r="L490" s="68"/>
      <c r="M490" s="68"/>
      <c r="N490" s="882"/>
      <c r="O490" s="2407"/>
      <c r="P490" s="2407"/>
      <c r="Q490" s="68"/>
    </row>
    <row r="491" spans="1:17" s="115" customFormat="1">
      <c r="C491" s="68"/>
      <c r="D491" s="68"/>
      <c r="E491" s="68"/>
      <c r="F491" s="68"/>
      <c r="G491" s="1508" t="s">
        <v>3347</v>
      </c>
      <c r="H491" s="882" t="s">
        <v>4068</v>
      </c>
      <c r="I491" s="1848" t="s">
        <v>2453</v>
      </c>
      <c r="J491" s="68" t="s">
        <v>3331</v>
      </c>
      <c r="K491" s="68"/>
      <c r="L491" s="503"/>
      <c r="M491" s="68"/>
      <c r="N491" s="882"/>
      <c r="O491" s="2407"/>
      <c r="P491" s="2407"/>
      <c r="Q491" s="68"/>
    </row>
    <row r="492" spans="1:17" s="115" customFormat="1">
      <c r="C492" s="68"/>
      <c r="D492" s="68"/>
      <c r="E492" s="68"/>
      <c r="F492" s="68"/>
      <c r="G492" s="1508" t="s">
        <v>507</v>
      </c>
      <c r="H492" s="882">
        <v>2020</v>
      </c>
      <c r="I492" s="882" t="s">
        <v>4067</v>
      </c>
      <c r="J492" s="68" t="s">
        <v>3334</v>
      </c>
      <c r="K492" s="68"/>
      <c r="L492" s="503"/>
      <c r="M492" s="68"/>
      <c r="N492" s="882"/>
      <c r="O492" s="2407"/>
      <c r="P492" s="2407"/>
      <c r="Q492" s="68"/>
    </row>
    <row r="493" spans="1:17" s="115" customFormat="1">
      <c r="C493" s="68"/>
      <c r="D493" s="68"/>
      <c r="E493" s="68"/>
      <c r="F493" s="68"/>
      <c r="G493" s="1508" t="s">
        <v>376</v>
      </c>
      <c r="H493" s="882">
        <v>2020</v>
      </c>
      <c r="I493" s="882" t="s">
        <v>4067</v>
      </c>
      <c r="J493" s="68" t="s">
        <v>3337</v>
      </c>
      <c r="K493" s="68"/>
      <c r="L493" s="68"/>
      <c r="M493" s="68"/>
      <c r="N493" s="882"/>
      <c r="O493" s="2407"/>
      <c r="P493" s="2407"/>
      <c r="Q493" s="68"/>
    </row>
    <row r="494" spans="1:17" s="115" customFormat="1">
      <c r="C494" s="68"/>
      <c r="D494" s="697"/>
      <c r="E494" s="68"/>
      <c r="F494" s="68"/>
      <c r="G494" s="1508" t="s">
        <v>1349</v>
      </c>
      <c r="H494" s="882" t="s">
        <v>4068</v>
      </c>
      <c r="I494" s="1848" t="s">
        <v>2453</v>
      </c>
      <c r="J494" s="68" t="s">
        <v>3258</v>
      </c>
      <c r="K494" s="68"/>
      <c r="L494" s="503"/>
      <c r="M494" s="68"/>
      <c r="N494" s="882"/>
      <c r="O494" s="2407"/>
      <c r="P494" s="2407"/>
      <c r="Q494" s="68"/>
    </row>
    <row r="495" spans="1:17" s="115" customFormat="1">
      <c r="C495" s="68"/>
      <c r="D495" s="697"/>
      <c r="E495" s="68"/>
      <c r="F495" s="68"/>
      <c r="G495" s="1508" t="s">
        <v>1707</v>
      </c>
      <c r="H495" s="882" t="s">
        <v>4068</v>
      </c>
      <c r="I495" s="1848" t="s">
        <v>2453</v>
      </c>
      <c r="J495" s="68" t="s">
        <v>3259</v>
      </c>
      <c r="K495" s="68"/>
      <c r="L495" s="503"/>
      <c r="M495" s="68"/>
      <c r="N495" s="882"/>
      <c r="O495" s="2407"/>
      <c r="P495" s="2407"/>
      <c r="Q495" s="68"/>
    </row>
    <row r="496" spans="1:17" s="115" customFormat="1">
      <c r="C496" s="68"/>
      <c r="D496" s="68"/>
      <c r="E496" s="68"/>
      <c r="F496" s="68"/>
      <c r="G496" s="1508" t="s">
        <v>1969</v>
      </c>
      <c r="H496" s="882">
        <v>2020</v>
      </c>
      <c r="I496" s="882" t="s">
        <v>4067</v>
      </c>
      <c r="J496" s="68" t="s">
        <v>3332</v>
      </c>
      <c r="K496" s="68"/>
      <c r="L496" s="503"/>
      <c r="M496" s="68"/>
      <c r="N496" s="882"/>
      <c r="O496" s="2407"/>
      <c r="P496" s="2407"/>
      <c r="Q496" s="68"/>
    </row>
    <row r="497" spans="3:17" s="115" customFormat="1">
      <c r="C497" s="68"/>
      <c r="D497" s="68"/>
      <c r="E497" s="68"/>
      <c r="F497" s="68"/>
      <c r="G497" s="1508" t="s">
        <v>1352</v>
      </c>
      <c r="H497" s="882">
        <v>2019</v>
      </c>
      <c r="I497" s="882" t="s">
        <v>4067</v>
      </c>
      <c r="J497" s="68" t="s">
        <v>3335</v>
      </c>
      <c r="K497" s="68"/>
      <c r="L497" s="68"/>
      <c r="M497" s="68"/>
      <c r="N497" s="882"/>
      <c r="O497" s="2407"/>
      <c r="P497" s="2407"/>
      <c r="Q497" s="68"/>
    </row>
    <row r="498" spans="3:17" s="115" customFormat="1">
      <c r="C498" s="68"/>
      <c r="D498" s="68"/>
      <c r="E498" s="68"/>
      <c r="F498" s="68"/>
      <c r="G498" s="1508" t="s">
        <v>235</v>
      </c>
      <c r="H498" s="882">
        <v>2019</v>
      </c>
      <c r="I498" s="882" t="s">
        <v>4067</v>
      </c>
      <c r="J498" s="68" t="s">
        <v>3336</v>
      </c>
      <c r="K498" s="68"/>
      <c r="L498" s="503"/>
      <c r="M498" s="68"/>
      <c r="N498" s="882"/>
      <c r="O498" s="2407"/>
      <c r="P498" s="2407"/>
      <c r="Q498" s="68"/>
    </row>
    <row r="499" spans="3:17" s="115" customFormat="1">
      <c r="C499" s="68"/>
      <c r="D499" s="68"/>
      <c r="E499" s="68"/>
      <c r="F499" s="68"/>
      <c r="G499" s="1508" t="s">
        <v>978</v>
      </c>
      <c r="H499" s="882">
        <v>2020</v>
      </c>
      <c r="I499" s="882" t="s">
        <v>4067</v>
      </c>
      <c r="J499" s="68" t="s">
        <v>3260</v>
      </c>
      <c r="K499" s="68"/>
      <c r="L499" s="503"/>
      <c r="M499" s="68"/>
      <c r="N499" s="882"/>
      <c r="O499" s="2407"/>
      <c r="P499" s="2407"/>
      <c r="Q499" s="68"/>
    </row>
    <row r="500" spans="3:17" s="115" customFormat="1">
      <c r="C500" s="697"/>
      <c r="D500" s="68"/>
      <c r="E500" s="68"/>
      <c r="F500" s="68"/>
      <c r="G500" s="1508" t="s">
        <v>2096</v>
      </c>
      <c r="H500" s="882">
        <v>2020</v>
      </c>
      <c r="I500" s="882" t="s">
        <v>4067</v>
      </c>
      <c r="J500" s="68" t="s">
        <v>3261</v>
      </c>
      <c r="K500" s="68"/>
      <c r="L500" s="503"/>
      <c r="M500" s="68"/>
      <c r="N500" s="882"/>
      <c r="O500" s="2407"/>
      <c r="P500" s="2407"/>
      <c r="Q500" s="68"/>
    </row>
    <row r="501" spans="3:17" s="115" customFormat="1">
      <c r="C501" s="697"/>
      <c r="D501" s="68"/>
      <c r="E501" s="68"/>
      <c r="F501" s="68"/>
      <c r="G501" s="1508" t="s">
        <v>4062</v>
      </c>
      <c r="H501" s="882" t="s">
        <v>4068</v>
      </c>
      <c r="I501" s="1848" t="s">
        <v>2453</v>
      </c>
      <c r="J501" s="68"/>
      <c r="K501" s="68"/>
      <c r="L501" s="503"/>
      <c r="M501" s="68"/>
      <c r="N501" s="882"/>
      <c r="O501" s="2407"/>
      <c r="P501" s="2407"/>
      <c r="Q501" s="68"/>
    </row>
    <row r="502" spans="3:17" s="115" customFormat="1">
      <c r="C502" s="697"/>
      <c r="D502" s="68"/>
      <c r="E502" s="68"/>
      <c r="F502" s="68"/>
      <c r="G502" s="1508" t="s">
        <v>1749</v>
      </c>
      <c r="H502" s="882" t="s">
        <v>4068</v>
      </c>
      <c r="I502" s="1848" t="s">
        <v>2453</v>
      </c>
      <c r="J502" s="68"/>
      <c r="K502" s="68"/>
      <c r="L502" s="503"/>
      <c r="M502" s="68"/>
      <c r="N502" s="882"/>
      <c r="O502" s="2407"/>
      <c r="P502" s="2407"/>
      <c r="Q502" s="68"/>
    </row>
    <row r="503" spans="3:17" s="115" customFormat="1">
      <c r="C503" s="697"/>
      <c r="D503" s="68"/>
      <c r="E503" s="68"/>
      <c r="F503" s="68"/>
      <c r="G503" s="1508" t="s">
        <v>472</v>
      </c>
      <c r="H503" s="882" t="s">
        <v>4068</v>
      </c>
      <c r="I503" s="1848" t="s">
        <v>2453</v>
      </c>
      <c r="J503" s="68"/>
      <c r="K503" s="68"/>
      <c r="L503" s="503"/>
      <c r="M503" s="68"/>
      <c r="N503" s="882"/>
      <c r="O503" s="2407"/>
      <c r="P503" s="2407"/>
      <c r="Q503" s="68"/>
    </row>
    <row r="504" spans="3:17" s="115" customFormat="1">
      <c r="C504" s="697"/>
      <c r="D504" s="68"/>
      <c r="E504" s="68"/>
      <c r="F504" s="68"/>
      <c r="G504" s="1508" t="s">
        <v>1951</v>
      </c>
      <c r="H504" s="882" t="s">
        <v>4068</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4067</v>
      </c>
      <c r="J505" s="68"/>
      <c r="K505" s="68"/>
      <c r="L505" s="503"/>
      <c r="M505" s="68"/>
      <c r="N505" s="882"/>
      <c r="O505" s="2407"/>
      <c r="P505" s="2407"/>
      <c r="Q505" s="68"/>
    </row>
    <row r="506" spans="3:17" s="115" customFormat="1">
      <c r="C506" s="697"/>
      <c r="D506" s="68"/>
      <c r="E506" s="68"/>
      <c r="F506" s="68"/>
      <c r="G506" s="1508" t="s">
        <v>1974</v>
      </c>
      <c r="H506" s="882">
        <v>2020</v>
      </c>
      <c r="I506" s="882" t="s">
        <v>4067</v>
      </c>
      <c r="J506" s="68"/>
      <c r="K506" s="68"/>
      <c r="L506" s="68"/>
      <c r="M506" s="68"/>
      <c r="N506" s="882"/>
      <c r="O506" s="2407"/>
      <c r="P506" s="2407"/>
      <c r="Q506" s="68"/>
    </row>
    <row r="507" spans="3:17" s="115" customFormat="1">
      <c r="C507" s="68"/>
      <c r="D507" s="68"/>
      <c r="E507" s="68"/>
      <c r="F507" s="68"/>
      <c r="G507" s="1508" t="s">
        <v>2154</v>
      </c>
      <c r="H507" s="882">
        <v>2019</v>
      </c>
      <c r="I507" s="882" t="s">
        <v>4067</v>
      </c>
      <c r="J507" s="68"/>
      <c r="K507" s="68"/>
      <c r="L507" s="68"/>
      <c r="M507" s="68"/>
      <c r="N507" s="882"/>
      <c r="O507" s="2407"/>
      <c r="P507" s="2407"/>
      <c r="Q507" s="68"/>
    </row>
    <row r="508" spans="3:17" s="115" customFormat="1">
      <c r="C508" s="68"/>
      <c r="D508" s="68"/>
      <c r="E508" s="68"/>
      <c r="F508" s="68"/>
      <c r="G508" s="1508" t="s">
        <v>4063</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4067</v>
      </c>
      <c r="J509" s="68"/>
      <c r="K509" s="68"/>
      <c r="L509" s="68"/>
      <c r="M509" s="68"/>
      <c r="N509" s="882"/>
      <c r="O509" s="2407"/>
      <c r="P509" s="2407"/>
      <c r="Q509" s="68"/>
    </row>
    <row r="510" spans="3:17" s="115" customFormat="1">
      <c r="C510" s="68"/>
      <c r="D510" s="68"/>
      <c r="E510" s="68"/>
      <c r="F510" s="68"/>
      <c r="G510" s="1508" t="s">
        <v>1577</v>
      </c>
      <c r="H510" s="882">
        <v>2020</v>
      </c>
      <c r="I510" s="882" t="s">
        <v>4067</v>
      </c>
      <c r="J510" s="68"/>
      <c r="K510" s="68"/>
      <c r="L510" s="68"/>
      <c r="M510" s="68"/>
      <c r="N510" s="882"/>
      <c r="O510" s="2407"/>
      <c r="P510" s="2407"/>
      <c r="Q510" s="68"/>
    </row>
    <row r="511" spans="3:17" s="115" customFormat="1">
      <c r="C511" s="68"/>
      <c r="D511" s="68"/>
      <c r="E511" s="68"/>
      <c r="F511" s="68"/>
      <c r="G511" s="1508" t="s">
        <v>1582</v>
      </c>
      <c r="H511" s="882">
        <v>2020</v>
      </c>
      <c r="I511" s="882" t="s">
        <v>4067</v>
      </c>
      <c r="J511" s="68"/>
      <c r="K511" s="68"/>
      <c r="L511" s="68"/>
      <c r="M511" s="68"/>
      <c r="N511" s="882"/>
      <c r="O511" s="2407"/>
      <c r="P511" s="2407"/>
      <c r="Q511" s="68"/>
    </row>
    <row r="512" spans="3:17" s="115" customFormat="1">
      <c r="C512" s="68"/>
      <c r="D512" s="68"/>
      <c r="E512" s="68"/>
      <c r="F512" s="68"/>
      <c r="G512" s="1508" t="s">
        <v>1590</v>
      </c>
      <c r="H512" s="882">
        <v>2020</v>
      </c>
      <c r="I512" s="882" t="s">
        <v>4067</v>
      </c>
      <c r="J512" s="68"/>
      <c r="K512" s="68"/>
      <c r="L512" s="68"/>
      <c r="M512" s="68"/>
      <c r="N512" s="882"/>
      <c r="O512" s="2407"/>
      <c r="P512" s="2407"/>
      <c r="Q512" s="68"/>
    </row>
    <row r="513" spans="3:17" s="115" customFormat="1">
      <c r="C513" s="68"/>
      <c r="D513" s="68"/>
      <c r="E513" s="68"/>
      <c r="F513" s="68"/>
      <c r="G513" s="1508" t="s">
        <v>1591</v>
      </c>
      <c r="H513" s="882">
        <v>2019</v>
      </c>
      <c r="I513" s="882" t="s">
        <v>4067</v>
      </c>
      <c r="J513" s="68"/>
      <c r="K513" s="68"/>
      <c r="L513" s="68"/>
      <c r="M513" s="68"/>
      <c r="N513" s="882"/>
      <c r="O513" s="2407"/>
      <c r="P513" s="2407"/>
      <c r="Q513" s="68"/>
    </row>
    <row r="514" spans="3:17" s="115" customFormat="1">
      <c r="C514" s="68"/>
      <c r="D514" s="68"/>
      <c r="E514" s="68"/>
      <c r="F514" s="68"/>
      <c r="G514" s="1508" t="s">
        <v>100</v>
      </c>
      <c r="H514" s="882">
        <v>2020</v>
      </c>
      <c r="I514" s="882" t="s">
        <v>4067</v>
      </c>
      <c r="J514" s="68"/>
      <c r="K514" s="68"/>
      <c r="L514" s="68"/>
      <c r="M514" s="68"/>
      <c r="N514" s="882"/>
      <c r="O514" s="2407"/>
      <c r="P514" s="2407"/>
      <c r="Q514" s="68"/>
    </row>
    <row r="515" spans="3:17" s="115" customFormat="1">
      <c r="C515" s="68"/>
      <c r="D515" s="68"/>
      <c r="E515" s="68"/>
      <c r="F515" s="68"/>
      <c r="G515" s="1508" t="s">
        <v>285</v>
      </c>
      <c r="H515" s="882">
        <v>2020</v>
      </c>
      <c r="I515" s="882" t="s">
        <v>4067</v>
      </c>
      <c r="J515" s="68"/>
      <c r="K515" s="68"/>
      <c r="L515" s="68"/>
      <c r="M515" s="68"/>
      <c r="N515" s="882"/>
      <c r="O515" s="2407"/>
      <c r="P515" s="2407"/>
      <c r="Q515" s="68"/>
    </row>
    <row r="516" spans="3:17" s="115" customFormat="1">
      <c r="C516" s="68"/>
      <c r="D516" s="68"/>
      <c r="E516" s="68"/>
      <c r="F516" s="68"/>
      <c r="G516" s="1508" t="s">
        <v>1442</v>
      </c>
      <c r="H516" s="882" t="s">
        <v>4068</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2" t="s">
        <v>2581</v>
      </c>
      <c r="B1" s="4732"/>
      <c r="C1" s="4732"/>
      <c r="D1" s="4732"/>
      <c r="E1" s="4732"/>
      <c r="F1" s="4732"/>
      <c r="G1" s="4732"/>
      <c r="H1" s="4732"/>
      <c r="I1" s="4732"/>
      <c r="J1" s="4732"/>
    </row>
    <row r="2" spans="1:16" ht="15.75">
      <c r="A2" s="4732" t="str">
        <f>'Sensitivity Analysis'!C8</f>
        <v>Richmond Summit</v>
      </c>
      <c r="B2" s="4732"/>
      <c r="C2" s="4732"/>
      <c r="D2" s="4732"/>
      <c r="E2" s="4732"/>
      <c r="F2" s="4732"/>
      <c r="G2" s="4732"/>
      <c r="H2" s="4732"/>
      <c r="I2" s="4732"/>
      <c r="J2" s="4732"/>
    </row>
    <row r="3" spans="1:16" ht="15.75">
      <c r="A3" s="4732" t="str">
        <f>'Subsidy Layering Memo'!F14</f>
        <v>Augusta, Richmond</v>
      </c>
      <c r="B3" s="4732"/>
      <c r="C3" s="4732"/>
      <c r="D3" s="4732"/>
      <c r="E3" s="4732"/>
      <c r="F3" s="4732"/>
      <c r="G3" s="4732"/>
      <c r="H3" s="4732"/>
      <c r="I3" s="4732"/>
      <c r="J3" s="4732"/>
    </row>
    <row r="4" spans="1:16" ht="15.75">
      <c r="A4" s="4733" t="s">
        <v>2582</v>
      </c>
      <c r="B4" s="4732"/>
      <c r="C4" s="4732"/>
      <c r="D4" s="4732"/>
      <c r="E4" s="4732"/>
      <c r="F4" s="4732"/>
      <c r="G4" s="4732"/>
      <c r="H4" s="4732"/>
      <c r="I4" s="4732"/>
      <c r="J4" s="4732"/>
    </row>
    <row r="5" spans="1:16" ht="5.25" customHeight="1"/>
    <row r="6" spans="1:16" ht="5.25" customHeight="1"/>
    <row r="7" spans="1:16" ht="15.75">
      <c r="A7" s="4734" t="s">
        <v>2583</v>
      </c>
      <c r="B7" s="4734"/>
      <c r="C7" s="4735"/>
      <c r="M7" s="4726"/>
      <c r="N7" s="4726"/>
      <c r="O7" s="4726"/>
      <c r="P7" s="4726"/>
    </row>
    <row r="8" spans="1:16" ht="57" customHeight="1">
      <c r="A8" s="4727" t="s">
        <v>6153</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135 units set aside for &lt;&lt; Select PROPOSED Tenancy &gt;&gt;.</v>
      </c>
      <c r="B9" s="4727"/>
      <c r="C9" s="4727"/>
      <c r="D9" s="4727"/>
      <c r="E9" s="4727"/>
      <c r="F9" s="4727"/>
      <c r="G9" s="4727"/>
      <c r="H9" s="4727"/>
      <c r="I9" s="4727"/>
      <c r="J9" s="4727"/>
      <c r="K9" s="508"/>
    </row>
    <row r="10" spans="1:16" ht="15.75">
      <c r="A10" s="509" t="s">
        <v>2584</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75">
      <c r="A14" s="509" t="s">
        <v>2585</v>
      </c>
      <c r="B14" s="510"/>
    </row>
    <row r="15" spans="1:16">
      <c r="A15" s="507" t="s">
        <v>2586</v>
      </c>
      <c r="D15" s="1020" t="s">
        <v>2587</v>
      </c>
    </row>
    <row r="16" spans="1:16">
      <c r="A16" s="507" t="s">
        <v>2588</v>
      </c>
      <c r="D16" s="1254">
        <f>'Sensitivity Analysis'!C25</f>
        <v>10970000</v>
      </c>
    </row>
    <row r="17" spans="1:11">
      <c r="A17" s="511" t="s">
        <v>2589</v>
      </c>
      <c r="D17" s="1255">
        <f>'Sensitivity Analysis'!C13</f>
        <v>135</v>
      </c>
    </row>
    <row r="18" spans="1:11" ht="14.25" customHeight="1"/>
    <row r="19" spans="1:11" ht="15.75">
      <c r="A19" s="509" t="s">
        <v>2590</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9170582.85 via the syndication of the 2021 Federal LIHTC allocation of 1105000 per annum. will make a capital contribution totaling 8065693.38061101 via the syndication of the 2021 State LIHTC allocation of 1105000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1.56 (0.83 Federal tax credit and 0.73 State tax credit) for a (X%) ownership interest of the Federal Credits and a (X%) ownership interest of the State Credits. </v>
      </c>
      <c r="B22" s="4731"/>
      <c r="C22" s="4731"/>
      <c r="D22" s="4731"/>
      <c r="E22" s="4731"/>
      <c r="F22" s="4731"/>
      <c r="G22" s="4731"/>
      <c r="H22" s="4731"/>
      <c r="I22" s="4731"/>
      <c r="J22" s="4731"/>
    </row>
    <row r="23" spans="1:11" ht="15.75">
      <c r="A23" s="509" t="s">
        <v>6154</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4" zoomScaleNormal="100" workbookViewId="0">
      <selection activeCell="M28" sqref="M28"/>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 customHeight="1">
      <c r="A2" s="3051" t="str">
        <f>CONCATENATE("PART ONE - PROJECT INFORMATION"," - ",$O$7," ",$F$25,", ",'Part I-Project Identification'!F26,", ",'Part I-Project Identification'!J26," County")</f>
        <v>PART ONE - PROJECT INFORMATION - 2023-0 Richmond Summit, Augusta, Richmond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6747</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7035</v>
      </c>
      <c r="B6" s="3066"/>
      <c r="C6" s="3066"/>
      <c r="D6" s="3066"/>
      <c r="F6" s="242"/>
      <c r="G6" s="224" t="s">
        <v>3825</v>
      </c>
      <c r="L6" s="375"/>
      <c r="P6" s="1788" t="s">
        <v>3291</v>
      </c>
      <c r="Z6" s="1706">
        <v>6</v>
      </c>
    </row>
    <row r="7" spans="1:26" s="144" customFormat="1" ht="12" customHeight="1" thickBot="1">
      <c r="A7" s="3066"/>
      <c r="B7" s="3066"/>
      <c r="C7" s="3066"/>
      <c r="D7" s="3066"/>
      <c r="E7" s="999"/>
      <c r="F7" s="244"/>
      <c r="G7" s="224" t="s">
        <v>6085</v>
      </c>
      <c r="H7" s="248"/>
      <c r="I7" s="248"/>
      <c r="J7" s="248"/>
      <c r="O7" s="3054" t="s">
        <v>6912</v>
      </c>
      <c r="P7" s="3055"/>
      <c r="Q7" s="3012" t="s">
        <v>6636</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3268</v>
      </c>
      <c r="I10" s="3056">
        <f>'Part III-A-Uses of Funds'!$J$191</f>
        <v>1105000</v>
      </c>
      <c r="J10" s="3057"/>
      <c r="L10" s="144" t="s">
        <v>3269</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7036</v>
      </c>
      <c r="G12" s="3061"/>
      <c r="H12" s="3062"/>
      <c r="I12" s="1789" t="s">
        <v>6519</v>
      </c>
      <c r="J12" s="393" t="s">
        <v>6944</v>
      </c>
      <c r="K12" s="243"/>
      <c r="L12" s="248"/>
      <c r="O12" s="3063" t="s">
        <v>7106</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3674</v>
      </c>
      <c r="D14" s="246"/>
      <c r="E14" s="245"/>
      <c r="G14" s="245"/>
      <c r="H14" s="245"/>
      <c r="I14" s="751" t="s">
        <v>3296</v>
      </c>
      <c r="L14" s="247"/>
      <c r="Q14" s="3014"/>
      <c r="R14" s="3015"/>
      <c r="S14" s="3016"/>
      <c r="Z14" s="1706">
        <v>14</v>
      </c>
    </row>
    <row r="15" spans="1:26" s="144" customFormat="1">
      <c r="B15" s="144" t="s">
        <v>3297</v>
      </c>
      <c r="F15" s="3041" t="s">
        <v>7099</v>
      </c>
      <c r="G15" s="3042"/>
      <c r="H15" s="3043"/>
      <c r="I15" s="2444" t="s">
        <v>1670</v>
      </c>
      <c r="J15" s="3044" t="s">
        <v>7037</v>
      </c>
      <c r="K15" s="3045"/>
      <c r="L15" s="3046"/>
      <c r="M15" s="1898" t="s">
        <v>1839</v>
      </c>
      <c r="N15" s="3041" t="s">
        <v>7038</v>
      </c>
      <c r="O15" s="3042"/>
      <c r="P15" s="3043"/>
      <c r="Q15" s="3014"/>
      <c r="R15" s="3015"/>
      <c r="S15" s="3016"/>
      <c r="Z15" s="1706">
        <v>15</v>
      </c>
    </row>
    <row r="16" spans="1:26" s="144" customFormat="1" ht="12.75" customHeight="1">
      <c r="B16" s="246" t="s">
        <v>1599</v>
      </c>
      <c r="F16" s="3035">
        <v>2066882087</v>
      </c>
      <c r="G16" s="3036"/>
      <c r="H16" s="3037"/>
      <c r="I16" s="2445" t="s">
        <v>1598</v>
      </c>
      <c r="J16" s="823"/>
      <c r="M16" s="246" t="s">
        <v>1600</v>
      </c>
      <c r="N16" s="3035">
        <v>2066882087</v>
      </c>
      <c r="O16" s="3036"/>
      <c r="P16" s="3037"/>
      <c r="Q16" s="3014"/>
      <c r="R16" s="3015"/>
      <c r="S16" s="3016"/>
      <c r="V16" s="751"/>
      <c r="W16" s="751"/>
      <c r="X16" s="751"/>
      <c r="Z16" s="1706">
        <v>18</v>
      </c>
    </row>
    <row r="17" spans="1:26" s="144" customFormat="1">
      <c r="B17" s="246" t="s">
        <v>1842</v>
      </c>
      <c r="F17" s="3069" t="s">
        <v>7101</v>
      </c>
      <c r="G17" s="3070"/>
      <c r="H17" s="3070"/>
      <c r="I17" s="3045"/>
      <c r="J17" s="3070"/>
      <c r="K17" s="3045"/>
      <c r="L17" s="3046"/>
      <c r="M17" s="246" t="s">
        <v>1838</v>
      </c>
      <c r="N17" s="3038">
        <v>2066882087</v>
      </c>
      <c r="O17" s="3039"/>
      <c r="P17" s="3040"/>
      <c r="Q17" s="3014"/>
      <c r="R17" s="3015"/>
      <c r="S17" s="3016"/>
      <c r="U17" s="751"/>
      <c r="V17" s="751"/>
      <c r="W17" s="751"/>
      <c r="X17" s="751"/>
      <c r="Z17" s="1706">
        <v>19</v>
      </c>
    </row>
    <row r="18" spans="1:26" s="144" customFormat="1">
      <c r="A18" s="375"/>
      <c r="B18" s="243" t="s">
        <v>3673</v>
      </c>
      <c r="C18" s="145"/>
      <c r="H18" s="248"/>
      <c r="J18" s="145"/>
      <c r="P18" s="248"/>
      <c r="Q18" s="3014"/>
      <c r="R18" s="3015"/>
      <c r="S18" s="3016"/>
      <c r="Z18" s="1706">
        <v>20</v>
      </c>
    </row>
    <row r="19" spans="1:26" s="144" customFormat="1">
      <c r="B19" s="144" t="s">
        <v>3297</v>
      </c>
      <c r="F19" s="3041" t="s">
        <v>7099</v>
      </c>
      <c r="G19" s="3042"/>
      <c r="H19" s="3043"/>
      <c r="I19" s="2444" t="s">
        <v>1670</v>
      </c>
      <c r="J19" s="3044" t="s">
        <v>7039</v>
      </c>
      <c r="K19" s="3045"/>
      <c r="L19" s="3046"/>
      <c r="M19" s="1898" t="s">
        <v>1839</v>
      </c>
      <c r="N19" s="3041" t="s">
        <v>7040</v>
      </c>
      <c r="O19" s="3042"/>
      <c r="P19" s="3043"/>
      <c r="Q19" s="3014"/>
      <c r="R19" s="3015"/>
      <c r="S19" s="3016"/>
      <c r="Z19" s="1706">
        <v>21</v>
      </c>
    </row>
    <row r="20" spans="1:26" s="144" customFormat="1">
      <c r="B20" s="246" t="s">
        <v>1599</v>
      </c>
      <c r="F20" s="3035">
        <v>2066492939</v>
      </c>
      <c r="G20" s="3036"/>
      <c r="H20" s="3037"/>
      <c r="I20" s="2445" t="s">
        <v>1598</v>
      </c>
      <c r="J20" s="823"/>
      <c r="M20" s="246" t="s">
        <v>1600</v>
      </c>
      <c r="N20" s="3035">
        <v>2066492939</v>
      </c>
      <c r="O20" s="3036"/>
      <c r="P20" s="3037"/>
      <c r="Q20" s="3014"/>
      <c r="R20" s="3015"/>
      <c r="S20" s="3016"/>
      <c r="U20" s="230"/>
      <c r="V20" s="230"/>
      <c r="W20" s="230"/>
      <c r="X20" s="230"/>
      <c r="Z20" s="1706">
        <v>24</v>
      </c>
    </row>
    <row r="21" spans="1:26" s="144" customFormat="1">
      <c r="B21" s="246" t="s">
        <v>1842</v>
      </c>
      <c r="F21" s="3069" t="s">
        <v>7102</v>
      </c>
      <c r="G21" s="3070"/>
      <c r="H21" s="3070"/>
      <c r="I21" s="3045"/>
      <c r="J21" s="3070"/>
      <c r="K21" s="3045"/>
      <c r="L21" s="3046"/>
      <c r="M21" s="246" t="s">
        <v>1838</v>
      </c>
      <c r="N21" s="3038">
        <v>2066492939</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7100</v>
      </c>
      <c r="G25" s="3071"/>
      <c r="H25" s="3071"/>
      <c r="I25" s="3045"/>
      <c r="J25" s="3071"/>
      <c r="K25" s="3072"/>
      <c r="M25" s="246" t="s">
        <v>425</v>
      </c>
      <c r="P25" s="1899" t="s">
        <v>2649</v>
      </c>
      <c r="Q25" s="3014"/>
      <c r="R25" s="3015"/>
      <c r="S25" s="3016"/>
      <c r="Z25" s="1706">
        <v>29</v>
      </c>
    </row>
    <row r="26" spans="1:26" s="144" customFormat="1">
      <c r="A26" s="375"/>
      <c r="B26" s="144" t="s">
        <v>575</v>
      </c>
      <c r="F26" s="3022" t="s">
        <v>1252</v>
      </c>
      <c r="G26" s="3049"/>
      <c r="H26" s="3050"/>
      <c r="I26" s="257" t="s">
        <v>576</v>
      </c>
      <c r="J26" s="3047" t="str">
        <f>IF(F26="","",VLOOKUP(F26,'DCA Underwriting Assumptions'!$T$141:$U$770,2,FALSE))</f>
        <v>Richmond</v>
      </c>
      <c r="K26" s="3048"/>
      <c r="M26" s="246" t="s">
        <v>426</v>
      </c>
      <c r="P26" s="1956" t="s">
        <v>2652</v>
      </c>
      <c r="Q26" s="3014"/>
      <c r="R26" s="3015"/>
      <c r="S26" s="3016"/>
      <c r="U26" s="375"/>
      <c r="Z26" s="1706">
        <v>30</v>
      </c>
    </row>
    <row r="27" spans="1:26" s="144" customFormat="1" ht="13.5">
      <c r="A27" s="375"/>
      <c r="B27" s="144" t="s">
        <v>3908</v>
      </c>
      <c r="C27" s="251"/>
      <c r="D27" s="252"/>
      <c r="E27" s="252"/>
      <c r="F27" s="3022" t="s">
        <v>7041</v>
      </c>
      <c r="G27" s="3023"/>
      <c r="H27" s="3024"/>
      <c r="I27" s="248"/>
      <c r="J27" s="392" t="s">
        <v>6725</v>
      </c>
      <c r="K27" s="248"/>
      <c r="M27" s="246" t="s">
        <v>6668</v>
      </c>
      <c r="O27" s="3067">
        <v>9.26</v>
      </c>
      <c r="P27" s="3068"/>
      <c r="Q27" s="3014"/>
      <c r="R27" s="3015"/>
      <c r="S27" s="3016"/>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47" t="str">
        <f>IF($F$26="","",VLOOKUP($J$26,'DCA Underwriting Assumptions'!$G$141:$L$300,3,FALSE))</f>
        <v>Augusta-Richmond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6655</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6654</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3934</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Richmond Summit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7"/>
      <c r="J7" s="4737"/>
      <c r="K7" s="4737"/>
      <c r="L7" s="567"/>
      <c r="M7" s="507"/>
    </row>
    <row r="8" spans="1:14" ht="15.75">
      <c r="A8" s="576" t="s">
        <v>2647</v>
      </c>
      <c r="B8" s="576"/>
      <c r="C8" s="4737" t="str">
        <f>'Part I-Project Identification'!$F$25</f>
        <v>Richmond Summit</v>
      </c>
      <c r="D8" s="4737"/>
      <c r="E8" s="1978" t="str">
        <f>'Part I-Project Identification'!$O$7</f>
        <v>2023-0</v>
      </c>
      <c r="F8" s="576" t="s">
        <v>2648</v>
      </c>
      <c r="G8" s="567"/>
      <c r="H8" s="4737" t="str">
        <f>CONCATENATE('Part I-Project Identification'!$F$26,", ",'Part I-Project Identification'!$J$26)</f>
        <v>Augusta, Richmond</v>
      </c>
      <c r="I8" s="4737"/>
      <c r="J8" s="4737"/>
      <c r="K8" s="4737"/>
      <c r="L8" s="567"/>
      <c r="M8" s="545"/>
    </row>
    <row r="9" spans="1:14" ht="15.75">
      <c r="A9" s="576" t="s">
        <v>2650</v>
      </c>
      <c r="B9" s="576"/>
      <c r="C9" s="4737" t="s">
        <v>1646</v>
      </c>
      <c r="D9" s="4737"/>
      <c r="E9" s="567"/>
      <c r="F9" s="576" t="s">
        <v>2651</v>
      </c>
      <c r="G9" s="567"/>
      <c r="H9" s="4746"/>
      <c r="I9" s="4746"/>
      <c r="J9" s="4746"/>
      <c r="K9" s="4746"/>
      <c r="L9" s="4746"/>
      <c r="M9" s="545"/>
    </row>
    <row r="10" spans="1:14" ht="15.75">
      <c r="A10" s="576" t="s">
        <v>2653</v>
      </c>
      <c r="B10" s="567"/>
      <c r="C10" s="4747"/>
      <c r="D10" s="4747"/>
      <c r="E10" s="567"/>
      <c r="F10" s="576" t="s">
        <v>3132</v>
      </c>
      <c r="G10" s="567"/>
      <c r="H10" s="4742"/>
      <c r="I10" s="4742"/>
      <c r="J10" s="4742"/>
      <c r="K10" s="4742"/>
      <c r="L10" s="4742"/>
    </row>
    <row r="11" spans="1:14" ht="15.75">
      <c r="A11" s="576" t="s">
        <v>2654</v>
      </c>
      <c r="B11" s="567"/>
      <c r="C11" s="4741"/>
      <c r="D11" s="4741"/>
      <c r="E11" s="1992"/>
      <c r="F11" s="576" t="s">
        <v>606</v>
      </c>
      <c r="G11" s="567"/>
      <c r="H11" s="4742"/>
      <c r="I11" s="4742"/>
      <c r="J11" s="4742"/>
      <c r="K11" s="4742"/>
      <c r="L11" s="4742"/>
      <c r="M11" s="4743"/>
      <c r="N11" s="4744"/>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135</v>
      </c>
      <c r="D13" s="26"/>
      <c r="E13" s="1980">
        <f>'Part V-Revenues &amp; Expenses'!$P$63</f>
        <v>135</v>
      </c>
      <c r="F13" s="576" t="s">
        <v>3453</v>
      </c>
      <c r="G13" s="567"/>
      <c r="H13" s="1990"/>
      <c r="I13" s="1982"/>
      <c r="J13" s="1982"/>
      <c r="K13" s="1981">
        <f>'Part V-Revenues &amp; Expenses'!$K$175</f>
        <v>165257</v>
      </c>
      <c r="L13" s="567"/>
      <c r="M13" s="507"/>
    </row>
    <row r="14" spans="1:14" ht="15.75">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5" t="s">
        <v>3100</v>
      </c>
      <c r="I14" s="4745"/>
      <c r="J14" s="4745"/>
      <c r="K14" s="4745" t="s">
        <v>3100</v>
      </c>
      <c r="L14" s="4745"/>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31347921.201668195</v>
      </c>
      <c r="D18" s="1986">
        <f>IF(C18=0,"",$C$29/C18)</f>
        <v>0.34994345970909951</v>
      </c>
      <c r="E18" s="567" t="s">
        <v>2953</v>
      </c>
      <c r="F18" s="576" t="s">
        <v>6751</v>
      </c>
      <c r="G18" s="567"/>
      <c r="H18" s="4736">
        <f>'Part III-A-Uses of Funds'!$C$49</f>
        <v>14364000</v>
      </c>
      <c r="I18" s="4736"/>
      <c r="J18" s="1987">
        <f>IF(H18=0,"",$C$29/H18)</f>
        <v>0.76371484266221112</v>
      </c>
      <c r="K18" s="4737" t="s">
        <v>2955</v>
      </c>
      <c r="L18" s="4737"/>
      <c r="M18" s="507"/>
    </row>
    <row r="19" spans="1:13" ht="15.75">
      <c r="A19" s="576" t="s">
        <v>2660</v>
      </c>
      <c r="B19" s="567"/>
      <c r="C19" s="1988">
        <f>C18/C13</f>
        <v>232206.8237160607</v>
      </c>
      <c r="D19" s="567"/>
      <c r="E19" s="567"/>
      <c r="F19" s="576" t="s">
        <v>2660</v>
      </c>
      <c r="G19" s="567"/>
      <c r="H19" s="4738">
        <f>H18/C13</f>
        <v>106400</v>
      </c>
      <c r="I19" s="4738"/>
      <c r="J19" s="567"/>
      <c r="K19" s="567"/>
      <c r="L19" s="567"/>
      <c r="M19" s="507"/>
    </row>
    <row r="20" spans="1:13" ht="15.75">
      <c r="A20" s="576" t="s">
        <v>2661</v>
      </c>
      <c r="B20" s="567"/>
      <c r="C20" s="1978">
        <f>C18/K13</f>
        <v>189.69194165250607</v>
      </c>
      <c r="D20" s="1989"/>
      <c r="E20" s="1989"/>
      <c r="F20" s="576" t="s">
        <v>2661</v>
      </c>
      <c r="G20" s="567"/>
      <c r="H20" s="4737">
        <f>H18/K13</f>
        <v>86.919162274517873</v>
      </c>
      <c r="I20" s="473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 Commercial Mortgage, LLC</v>
      </c>
      <c r="C25" s="553">
        <f>'Part II-Sources of Funds'!I40</f>
        <v>10970000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10970000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17236276.230611015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10970000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0.34994345970909951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0.76371484266221112</v>
      </c>
      <c r="D40" s="507"/>
      <c r="E40" s="507"/>
      <c r="F40" s="510"/>
      <c r="G40" s="510" t="s">
        <v>2681</v>
      </c>
      <c r="H40" s="507"/>
      <c r="I40" s="507"/>
      <c r="K40" s="555">
        <f>C30/C18</f>
        <v>0.54983793406032222</v>
      </c>
      <c r="L40" s="507"/>
      <c r="M40" s="507"/>
    </row>
    <row r="46" spans="1:13" ht="15.75">
      <c r="A46" s="550" t="s">
        <v>2682</v>
      </c>
      <c r="B46" s="540"/>
      <c r="C46" s="540"/>
      <c r="D46" s="540"/>
      <c r="E46" s="540"/>
      <c r="F46" s="540"/>
      <c r="G46" s="540"/>
      <c r="H46" s="540"/>
      <c r="I46" s="540"/>
      <c r="J46" s="540"/>
      <c r="K46" s="540"/>
      <c r="L46" s="540"/>
      <c r="M46" s="507"/>
    </row>
    <row r="47" spans="1:13" ht="15.75">
      <c r="A47" s="550" t="str">
        <f>C8</f>
        <v>Richmond Summit</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1701720</v>
      </c>
      <c r="D52" s="568"/>
      <c r="E52" s="568">
        <f>$C$52</f>
        <v>1701720</v>
      </c>
      <c r="F52" s="568"/>
      <c r="G52" s="568">
        <f>$C$52</f>
        <v>1701720</v>
      </c>
      <c r="H52" s="568"/>
      <c r="I52" s="568">
        <f>$C$52</f>
        <v>1701720</v>
      </c>
      <c r="J52" s="568"/>
      <c r="K52" s="568">
        <f>$C$52</f>
        <v>1701720</v>
      </c>
      <c r="L52" s="569"/>
      <c r="M52"/>
      <c r="N52"/>
    </row>
    <row r="53" spans="1:14" s="507" customFormat="1" ht="18.75" customHeight="1">
      <c r="B53" s="567" t="s">
        <v>2689</v>
      </c>
      <c r="C53" s="568">
        <f>'Part VI-Pro Forma'!B16</f>
        <v>34034.400000000001</v>
      </c>
      <c r="D53" s="568"/>
      <c r="E53" s="568">
        <f>$C$53</f>
        <v>34034.400000000001</v>
      </c>
      <c r="F53" s="568"/>
      <c r="G53" s="568">
        <f>$C$53</f>
        <v>34034.400000000001</v>
      </c>
      <c r="H53" s="568"/>
      <c r="I53" s="568">
        <f>$C$53</f>
        <v>34034.400000000001</v>
      </c>
      <c r="J53" s="568"/>
      <c r="K53" s="568">
        <f>$C$53</f>
        <v>34034.400000000001</v>
      </c>
      <c r="L53" s="569"/>
      <c r="M53"/>
      <c r="N53"/>
    </row>
    <row r="54" spans="1:14" s="507" customFormat="1" ht="18.75" customHeight="1">
      <c r="B54" s="567" t="s">
        <v>2687</v>
      </c>
      <c r="C54" s="568">
        <f>'Part VI-Pro Forma'!B17</f>
        <v>-86787.72</v>
      </c>
      <c r="D54" s="568"/>
      <c r="E54" s="568">
        <f>-($C$52+E53)*F50</f>
        <v>-173575.44</v>
      </c>
      <c r="F54" s="570"/>
      <c r="G54" s="568">
        <f>-($C$52+G53)*0.07</f>
        <v>-121502.808</v>
      </c>
      <c r="H54" s="568"/>
      <c r="I54" s="568">
        <f>-($C$52+I53)*0.07</f>
        <v>-121502.808</v>
      </c>
      <c r="J54" s="568"/>
      <c r="K54" s="568">
        <f>-($C$52+K53)*L54</f>
        <v>-173575.44</v>
      </c>
      <c r="L54" s="571">
        <v>0.1</v>
      </c>
      <c r="M54"/>
      <c r="N54"/>
    </row>
    <row r="55" spans="1:14" s="507" customFormat="1" ht="18.75" customHeight="1">
      <c r="B55" s="567" t="s">
        <v>2688</v>
      </c>
      <c r="C55" s="568">
        <f>'Part VI-Pro Forma'!B18</f>
        <v>82904</v>
      </c>
      <c r="D55" s="568"/>
      <c r="E55" s="568">
        <f>$C$55</f>
        <v>82904</v>
      </c>
      <c r="F55" s="570"/>
      <c r="G55" s="568">
        <f>$C$55</f>
        <v>82904</v>
      </c>
      <c r="H55" s="568"/>
      <c r="I55" s="568">
        <f>$C$55</f>
        <v>82904</v>
      </c>
      <c r="J55" s="568"/>
      <c r="K55" s="568">
        <f>$C$55</f>
        <v>82904</v>
      </c>
      <c r="L55" s="572"/>
      <c r="M55"/>
      <c r="N55"/>
    </row>
    <row r="56" spans="1:14" s="507" customFormat="1" ht="18.75" customHeight="1">
      <c r="B56" s="573" t="s">
        <v>2690</v>
      </c>
      <c r="C56" s="574">
        <f>SUM(C52:C55)</f>
        <v>1731870.68</v>
      </c>
      <c r="D56" s="568"/>
      <c r="E56" s="574">
        <f>SUM(E52:E55)</f>
        <v>1645082.96</v>
      </c>
      <c r="F56" s="568"/>
      <c r="G56" s="574">
        <f>SUM(G52:G55)</f>
        <v>1697155.5919999999</v>
      </c>
      <c r="H56" s="568"/>
      <c r="I56" s="574">
        <f>SUM(I52:I55)</f>
        <v>1697155.5919999999</v>
      </c>
      <c r="J56" s="568"/>
      <c r="K56" s="574">
        <f>SUM(K52:K55)</f>
        <v>1645082.96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85404</v>
      </c>
      <c r="D58" s="568"/>
      <c r="E58" s="568">
        <f>$C$58</f>
        <v>85404</v>
      </c>
      <c r="F58" s="568"/>
      <c r="G58" s="568">
        <f>$C$58</f>
        <v>85404</v>
      </c>
      <c r="H58" s="568"/>
      <c r="I58" s="568">
        <f>$C$58</f>
        <v>85404</v>
      </c>
      <c r="J58" s="568"/>
      <c r="K58" s="568">
        <f>$C$58</f>
        <v>85404</v>
      </c>
      <c r="L58" s="569"/>
      <c r="M58"/>
      <c r="N58"/>
    </row>
    <row r="59" spans="1:14" s="507" customFormat="1" ht="18.75" customHeight="1">
      <c r="B59" s="567" t="s">
        <v>2692</v>
      </c>
      <c r="C59" s="568">
        <f>+'Part V-Revenues &amp; Expenses'!F244</f>
        <v>6450</v>
      </c>
      <c r="D59" s="568"/>
      <c r="E59" s="568">
        <f>$C$59</f>
        <v>6450</v>
      </c>
      <c r="F59" s="568"/>
      <c r="G59" s="568">
        <f>$C$59</f>
        <v>6450</v>
      </c>
      <c r="H59" s="568"/>
      <c r="I59" s="568">
        <f>$C$59</f>
        <v>6450</v>
      </c>
      <c r="J59" s="568"/>
      <c r="K59" s="568">
        <f>$C$59*(1+$L$59)</f>
        <v>6708</v>
      </c>
      <c r="L59" s="575">
        <v>0.04</v>
      </c>
      <c r="M59"/>
      <c r="N59"/>
    </row>
    <row r="60" spans="1:14" s="507" customFormat="1" ht="18.75" customHeight="1">
      <c r="B60" s="567" t="s">
        <v>1297</v>
      </c>
      <c r="C60" s="568">
        <f>+'Part V-Revenues &amp; Expenses'!L237</f>
        <v>32256</v>
      </c>
      <c r="D60" s="568"/>
      <c r="E60" s="568">
        <f>$C$60</f>
        <v>32256</v>
      </c>
      <c r="F60" s="568"/>
      <c r="G60" s="568">
        <f>$C$60</f>
        <v>32256</v>
      </c>
      <c r="H60" s="568"/>
      <c r="I60" s="568">
        <f>$C$60*(1+$J$50)</f>
        <v>33223.68</v>
      </c>
      <c r="J60" s="570"/>
      <c r="K60" s="568">
        <f>$C$60*(1+$J$50)</f>
        <v>33223.68</v>
      </c>
      <c r="L60" s="571">
        <v>0.03</v>
      </c>
      <c r="M60"/>
      <c r="N60"/>
    </row>
    <row r="61" spans="1:14" s="507" customFormat="1" ht="18.75" customHeight="1">
      <c r="B61" s="567" t="s">
        <v>1298</v>
      </c>
      <c r="C61" s="568">
        <f>+'Part V-Revenues &amp; Expenses'!L244</f>
        <v>84684.557935999997</v>
      </c>
      <c r="D61" s="568"/>
      <c r="E61" s="568">
        <f>$C$61</f>
        <v>84684.557935999997</v>
      </c>
      <c r="F61" s="568"/>
      <c r="G61" s="568">
        <f>$C$61*(1+H50)</f>
        <v>88918.7858328</v>
      </c>
      <c r="H61" s="570"/>
      <c r="I61" s="568">
        <f>$C$61</f>
        <v>84684.557935999997</v>
      </c>
      <c r="J61" s="568"/>
      <c r="K61" s="568">
        <f>$C$61*(1+$L$61)</f>
        <v>88918.7858328</v>
      </c>
      <c r="L61" s="571">
        <v>0.05</v>
      </c>
      <c r="M61"/>
      <c r="N61"/>
    </row>
    <row r="62" spans="1:14" s="507" customFormat="1" ht="18.75" customHeight="1">
      <c r="B62" s="573" t="s">
        <v>2693</v>
      </c>
      <c r="C62" s="574">
        <f>SUM(C58:C61)</f>
        <v>208794.557936</v>
      </c>
      <c r="D62" s="568"/>
      <c r="E62" s="574">
        <f>SUM(E58:E61)</f>
        <v>208794.557936</v>
      </c>
      <c r="F62" s="568"/>
      <c r="G62" s="574">
        <f>SUM(G58:G61)</f>
        <v>213028.7858328</v>
      </c>
      <c r="H62" s="568"/>
      <c r="I62" s="574">
        <f>SUM(I58:I61)</f>
        <v>209762.23793599999</v>
      </c>
      <c r="J62" s="568"/>
      <c r="K62" s="574">
        <f>SUM(K58:K61)</f>
        <v>214254.46583279999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1523076.122064</v>
      </c>
      <c r="D64" s="577"/>
      <c r="E64" s="577">
        <f>E56-E62</f>
        <v>1436288.402064</v>
      </c>
      <c r="F64" s="577"/>
      <c r="G64" s="577">
        <f>G56-G62</f>
        <v>1484126.8061672</v>
      </c>
      <c r="H64" s="577"/>
      <c r="I64" s="577">
        <f>I56-I62</f>
        <v>1487393.3540639998</v>
      </c>
      <c r="J64" s="577"/>
      <c r="K64" s="577">
        <f>K56-K62</f>
        <v>1430828.4941672001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1523076.122064</v>
      </c>
      <c r="D70" s="577"/>
      <c r="E70" s="580">
        <f>E64-E66-E68</f>
        <v>1436288.402064</v>
      </c>
      <c r="F70" s="577"/>
      <c r="G70" s="580">
        <f>G64-G66-G68</f>
        <v>1484126.8061672</v>
      </c>
      <c r="H70" s="577"/>
      <c r="I70" s="580">
        <f>I64-I66-I68</f>
        <v>1487393.3540639998</v>
      </c>
      <c r="J70" s="577"/>
      <c r="K70" s="580">
        <f>K64-K66-K68</f>
        <v>1430828.4941672001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2.3994383264254018</v>
      </c>
      <c r="D72" s="581"/>
      <c r="E72" s="1004">
        <f>-E70/E75</f>
        <v>2.2627138524385879</v>
      </c>
      <c r="F72" s="581"/>
      <c r="G72" s="1004">
        <f>-G70/G75</f>
        <v>2.3380779781164911</v>
      </c>
      <c r="H72" s="581"/>
      <c r="I72" s="1004">
        <f>-I70/I75</f>
        <v>2.3432240637947723</v>
      </c>
      <c r="J72" s="581"/>
      <c r="K72" s="1004">
        <f>-K70/K75</f>
        <v>2.2541123701642936</v>
      </c>
      <c r="L72" s="4"/>
      <c r="M72" s="10"/>
      <c r="N72" s="10"/>
    </row>
    <row r="73" spans="1:14" s="507" customFormat="1" ht="18.75" customHeight="1">
      <c r="A73"/>
      <c r="B73" s="567" t="s">
        <v>2699</v>
      </c>
      <c r="C73" s="1005">
        <f>C76/C62</f>
        <v>4.2544811792142143</v>
      </c>
      <c r="D73" s="582"/>
      <c r="E73" s="1005">
        <f>E76/E62</f>
        <v>3.8388203456277261</v>
      </c>
      <c r="F73" s="582"/>
      <c r="G73" s="1005">
        <f>G76/G62</f>
        <v>3.987081829546284</v>
      </c>
      <c r="H73" s="582"/>
      <c r="I73" s="1005">
        <f>I76/I62</f>
        <v>4.0647437663265551</v>
      </c>
      <c r="J73" s="582"/>
      <c r="K73" s="1005">
        <f>K76/K62</f>
        <v>3.7155113013396761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-634763.60500293621</v>
      </c>
      <c r="D75" s="568"/>
      <c r="E75" s="568">
        <f>$C$75</f>
        <v>-634763.60500293621</v>
      </c>
      <c r="F75" s="568"/>
      <c r="G75" s="568">
        <f>$C$75</f>
        <v>-634763.60500293621</v>
      </c>
      <c r="H75" s="568"/>
      <c r="I75" s="568">
        <f>$C$75</f>
        <v>-634763.60500293621</v>
      </c>
      <c r="J75" s="568"/>
      <c r="K75" s="568">
        <f>$C$75</f>
        <v>-634763.60500293621</v>
      </c>
      <c r="L75" s="26"/>
      <c r="M75"/>
      <c r="N75"/>
    </row>
    <row r="76" spans="1:14" s="507" customFormat="1" ht="18.75" customHeight="1">
      <c r="A76"/>
      <c r="B76" s="567" t="s">
        <v>1096</v>
      </c>
      <c r="C76" s="568">
        <f>C70+C75</f>
        <v>888312.51706106379</v>
      </c>
      <c r="D76" s="568"/>
      <c r="E76" s="568">
        <f>E70+E75</f>
        <v>801524.79706106381</v>
      </c>
      <c r="F76" s="568"/>
      <c r="G76" s="568">
        <f>G70+G75</f>
        <v>849363.20116426377</v>
      </c>
      <c r="H76" s="568"/>
      <c r="I76" s="568">
        <f>I70+I75</f>
        <v>852629.74906106363</v>
      </c>
      <c r="J76" s="568"/>
      <c r="K76" s="568">
        <f>K70+K75</f>
        <v>796064.88916426385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Richmond Summit</v>
      </c>
    </row>
    <row r="13" spans="1:10" ht="15">
      <c r="A13" s="517"/>
      <c r="D13" s="516" t="s">
        <v>2604</v>
      </c>
      <c r="F13" s="1024" t="str">
        <f>'Sensitivity Analysis'!E8</f>
        <v>2023-0</v>
      </c>
    </row>
    <row r="14" spans="1:10" ht="15">
      <c r="A14" s="517"/>
      <c r="D14" s="516" t="s">
        <v>2605</v>
      </c>
      <c r="F14" s="1024" t="str">
        <f>'Sensitivity Analysis'!H8</f>
        <v>Augusta, Richmond</v>
      </c>
    </row>
    <row r="15" spans="1:10" ht="15">
      <c r="A15" s="517"/>
      <c r="D15" s="516" t="s">
        <v>2946</v>
      </c>
      <c r="F15" s="4748">
        <f>'Sensitivity Analysis'!$C$25</f>
        <v>10970000</v>
      </c>
      <c r="G15" s="4748"/>
      <c r="H15" s="4748"/>
    </row>
    <row r="16" spans="1:10" ht="15">
      <c r="A16" s="517"/>
      <c r="D16" s="519" t="s">
        <v>2606</v>
      </c>
      <c r="F16" s="520">
        <f>'Sensitivity Analysis'!C13</f>
        <v>135</v>
      </c>
      <c r="G16" s="521" t="s">
        <v>2947</v>
      </c>
      <c r="H16" s="972">
        <f>'Sensitivity Analysis'!E13</f>
        <v>135</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6156</v>
      </c>
    </row>
    <row r="22" spans="1:18" ht="111.75" customHeight="1">
      <c r="A22" s="4754" t="s">
        <v>3099</v>
      </c>
      <c r="B22" s="4754"/>
      <c r="C22" s="4754"/>
      <c r="D22" s="4754"/>
      <c r="E22" s="4754"/>
      <c r="F22" s="4754"/>
      <c r="G22" s="4754"/>
      <c r="H22" s="4754"/>
      <c r="I22" s="4754"/>
      <c r="J22" s="4754"/>
      <c r="K22" s="4756" t="s">
        <v>3899</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ht="15">
      <c r="A26" s="522" t="s">
        <v>6155</v>
      </c>
    </row>
    <row r="27" spans="1:18" ht="14.25" customHeight="1">
      <c r="A27" s="4762" t="s">
        <v>6157</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6158</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2182</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ht="15">
      <c r="A46" s="522" t="s">
        <v>2607</v>
      </c>
    </row>
    <row r="47" spans="1:10" ht="135" customHeight="1">
      <c r="A47" s="4731" t="s">
        <v>6159</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ht="15">
      <c r="A49" s="522" t="s">
        <v>2608</v>
      </c>
    </row>
    <row r="50" spans="1:12" ht="33" customHeight="1">
      <c r="A50" s="4727" t="s">
        <v>3454</v>
      </c>
      <c r="B50" s="4729"/>
      <c r="C50" s="4729"/>
      <c r="D50" s="4729"/>
      <c r="E50" s="4729"/>
      <c r="F50" s="4729"/>
      <c r="G50" s="4729"/>
      <c r="H50" s="4729"/>
      <c r="I50" s="4729"/>
      <c r="J50" s="4727"/>
    </row>
    <row r="51" spans="1:12" ht="3" customHeight="1"/>
    <row r="52" spans="1:12" ht="72.75" customHeight="1">
      <c r="A52" s="4727" t="s">
        <v>3455</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3456</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3457</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2956</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3458</v>
      </c>
      <c r="B60" s="4727"/>
      <c r="C60" s="4727"/>
      <c r="D60" s="4727"/>
      <c r="E60" s="4727"/>
      <c r="F60" s="4727"/>
      <c r="G60" s="4727"/>
      <c r="H60" s="4727"/>
      <c r="I60" s="4727"/>
      <c r="J60" s="4727"/>
    </row>
    <row r="61" spans="1:12" ht="3" customHeight="1"/>
    <row r="62" spans="1:12" ht="73.5" customHeight="1">
      <c r="A62" s="4727" t="s">
        <v>3459</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54" t="s">
        <v>2610</v>
      </c>
      <c r="B65" s="4754"/>
      <c r="C65" s="4754"/>
      <c r="D65" s="4754"/>
      <c r="E65" s="4754"/>
      <c r="F65" s="4754"/>
      <c r="G65" s="4754"/>
      <c r="H65" s="4754"/>
      <c r="I65" s="4754"/>
      <c r="J65" s="4754"/>
      <c r="L65" s="524">
        <f>'Closing term sheet'!C135</f>
        <v>705073.93250039592</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9170582.85 via the syndication of the 2021 Federal LIHTC allocation of 1105000 per annum. will make a capital contribution totaling 8065693.38061101 via the syndication of the 2021 State LIHTC allocation of 1105000 per annum.</v>
      </c>
      <c r="B67" s="4727"/>
      <c r="C67" s="4727"/>
      <c r="D67" s="4727"/>
      <c r="E67" s="4727"/>
      <c r="F67" s="4727"/>
      <c r="G67" s="4727"/>
      <c r="H67" s="4727"/>
      <c r="I67" s="4727"/>
      <c r="J67" s="529"/>
      <c r="L67" s="530">
        <f>'Part II-Sources of Funds'!I51</f>
        <v>9170582.8499999996</v>
      </c>
      <c r="M67" s="531">
        <f>'Part III-A-Uses of Funds'!$J$191</f>
        <v>1105000</v>
      </c>
      <c r="N67" s="532">
        <f>'Part III-A-Uses of Funds'!N182</f>
        <v>0.83</v>
      </c>
      <c r="O67" s="530">
        <f>'Part II-Sources of Funds'!I52</f>
        <v>8065693.3806110146</v>
      </c>
      <c r="P67" s="531">
        <f>M67</f>
        <v>1105000</v>
      </c>
      <c r="Q67" s="532">
        <f>'Part III-A-Uses of Funds'!Q182</f>
        <v>0.73</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1.56 (0.83 Federal tax credit and 0.73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2611</v>
      </c>
    </row>
    <row r="70" spans="1:17" ht="177" customHeight="1">
      <c r="A70" s="4727" t="s">
        <v>6160</v>
      </c>
      <c r="B70" s="4727"/>
      <c r="C70" s="4727"/>
      <c r="D70" s="4727"/>
      <c r="E70" s="4727"/>
      <c r="F70" s="4727"/>
      <c r="G70" s="4727"/>
      <c r="H70" s="4727"/>
      <c r="I70" s="4727"/>
      <c r="J70" s="4727"/>
      <c r="L70" s="534">
        <f>'Part VI-Pro Forma'!K72</f>
        <v>8015229.4980212962</v>
      </c>
      <c r="M70" s="4755" t="s">
        <v>3098</v>
      </c>
      <c r="N70" s="4756"/>
    </row>
    <row r="71" spans="1:17" ht="6" customHeight="1">
      <c r="A71" s="522"/>
    </row>
    <row r="72" spans="1:17" ht="15">
      <c r="A72" s="522" t="s">
        <v>2612</v>
      </c>
    </row>
    <row r="73" spans="1:17" ht="72.599999999999994" customHeight="1">
      <c r="A73" s="4727" t="s">
        <v>2613</v>
      </c>
      <c r="B73" s="4727"/>
      <c r="C73" s="4727"/>
      <c r="D73" s="4727"/>
      <c r="E73" s="4727"/>
      <c r="F73" s="4727"/>
      <c r="G73" s="4727"/>
      <c r="H73" s="4727"/>
      <c r="I73" s="4727"/>
      <c r="J73" s="4727"/>
    </row>
    <row r="74" spans="1:17" ht="36" customHeight="1">
      <c r="A74" s="4727" t="s">
        <v>2614</v>
      </c>
      <c r="B74" s="4727"/>
      <c r="C74" s="4727"/>
      <c r="D74" s="4727"/>
      <c r="E74" s="4727"/>
      <c r="F74" s="4727"/>
      <c r="G74" s="4727"/>
      <c r="H74" s="4727"/>
      <c r="I74" s="4727"/>
      <c r="J74" s="4727"/>
    </row>
    <row r="75" spans="1:17" ht="6" customHeight="1">
      <c r="A75" s="522"/>
    </row>
    <row r="76" spans="1:17" ht="15">
      <c r="A76" s="522" t="s">
        <v>2615</v>
      </c>
    </row>
    <row r="77" spans="1:17" ht="105.75" customHeight="1">
      <c r="A77" s="4727" t="s">
        <v>2616</v>
      </c>
      <c r="B77" s="4727"/>
      <c r="C77" s="4727"/>
      <c r="D77" s="4727"/>
      <c r="E77" s="4727"/>
      <c r="F77" s="4727"/>
      <c r="G77" s="4727"/>
      <c r="H77" s="4727"/>
      <c r="I77" s="4727"/>
      <c r="J77" s="4727"/>
    </row>
    <row r="78" spans="1:17" ht="6" customHeight="1">
      <c r="A78" s="522"/>
    </row>
    <row r="79" spans="1:17" ht="15">
      <c r="A79" s="522" t="s">
        <v>2617</v>
      </c>
    </row>
    <row r="80" spans="1:17" ht="66" customHeight="1">
      <c r="A80" s="4727" t="s">
        <v>2618</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2619</v>
      </c>
      <c r="B82" s="521"/>
      <c r="C82" s="521"/>
      <c r="D82" s="1024"/>
      <c r="E82" s="521"/>
      <c r="F82" s="521"/>
      <c r="G82" s="521"/>
      <c r="H82" s="521"/>
      <c r="I82" s="521"/>
      <c r="J82" s="535"/>
    </row>
    <row r="83" spans="1:15" s="1251" customFormat="1" ht="63" customHeight="1">
      <c r="A83" s="4727" t="s">
        <v>3661</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2620</v>
      </c>
      <c r="B85" s="4759"/>
      <c r="C85" s="4759"/>
      <c r="D85" s="521"/>
      <c r="E85" s="521"/>
      <c r="F85" s="521"/>
      <c r="G85" s="521"/>
      <c r="H85" s="521"/>
      <c r="I85" s="521"/>
      <c r="J85" s="535"/>
    </row>
    <row r="86" spans="1:15" ht="41.25" customHeight="1">
      <c r="A86" s="4727" t="s">
        <v>6161</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ht="15">
      <c r="A88" s="522" t="s">
        <v>2621</v>
      </c>
    </row>
    <row r="89" spans="1:15" ht="124.15" customHeight="1">
      <c r="A89" s="4727" t="s">
        <v>2622</v>
      </c>
      <c r="B89" s="4727"/>
      <c r="C89" s="4727"/>
      <c r="D89" s="4727"/>
      <c r="E89" s="4727"/>
      <c r="F89" s="4727"/>
      <c r="G89" s="4727"/>
      <c r="H89" s="4727"/>
      <c r="I89" s="4727"/>
      <c r="J89" s="4727"/>
      <c r="L89" s="4756" t="s">
        <v>2623</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7" t="s">
        <v>2625</v>
      </c>
      <c r="B92" s="4727"/>
      <c r="C92" s="4727"/>
      <c r="D92" s="4727"/>
      <c r="E92" s="4727"/>
      <c r="F92" s="4727"/>
      <c r="G92" s="4727"/>
      <c r="H92" s="4727"/>
      <c r="I92" s="4727"/>
      <c r="J92" s="4727"/>
      <c r="L92" s="4756" t="s">
        <v>2626</v>
      </c>
      <c r="M92" s="4756"/>
      <c r="N92" s="537" t="e">
        <f>'After-Tax Analysis'!G66</f>
        <v>#VALUE!</v>
      </c>
      <c r="O92" s="538" t="s">
        <v>2627</v>
      </c>
    </row>
    <row r="93" spans="1:15" ht="6" customHeight="1">
      <c r="A93" s="522"/>
    </row>
    <row r="94" spans="1:15" ht="15">
      <c r="A94" s="522" t="s">
        <v>2628</v>
      </c>
    </row>
    <row r="95" spans="1:15" ht="118.5" customHeight="1">
      <c r="A95" s="4727" t="s">
        <v>2629</v>
      </c>
      <c r="B95" s="4727"/>
      <c r="C95" s="4727"/>
      <c r="D95" s="4727"/>
      <c r="E95" s="4727"/>
      <c r="F95" s="4727"/>
      <c r="G95" s="4727"/>
      <c r="H95" s="4727"/>
      <c r="I95" s="4727"/>
      <c r="J95" s="4727"/>
    </row>
    <row r="96" spans="1:15" ht="20.25" customHeight="1">
      <c r="A96" s="4729" t="s">
        <v>2630</v>
      </c>
      <c r="B96" s="4729"/>
      <c r="C96" s="4729"/>
      <c r="D96" s="4727"/>
      <c r="E96" s="1249"/>
      <c r="F96" s="1249"/>
      <c r="G96" s="1249"/>
      <c r="H96" s="1249"/>
      <c r="I96" s="1249"/>
      <c r="J96" s="1249"/>
    </row>
    <row r="97" spans="1:14" ht="109.5" customHeight="1">
      <c r="A97" s="4751" t="s">
        <v>2631</v>
      </c>
      <c r="B97" s="4752"/>
      <c r="C97" s="4752"/>
      <c r="D97" s="4752"/>
      <c r="E97" s="4752"/>
      <c r="F97" s="4752"/>
      <c r="G97" s="4752"/>
      <c r="H97" s="4752"/>
      <c r="I97" s="4752"/>
      <c r="J97" s="4752"/>
    </row>
    <row r="98" spans="1:14" ht="11.25" customHeight="1">
      <c r="A98" s="522"/>
    </row>
    <row r="99" spans="1:14" ht="15">
      <c r="A99" s="522" t="s">
        <v>2632</v>
      </c>
    </row>
    <row r="100" spans="1:14" ht="110.65" customHeight="1">
      <c r="A100" s="4754" t="s">
        <v>2633</v>
      </c>
      <c r="B100" s="4754"/>
      <c r="C100" s="4754"/>
      <c r="D100" s="4754"/>
      <c r="E100" s="4754"/>
      <c r="F100" s="4754"/>
      <c r="G100" s="4754"/>
      <c r="H100" s="4754"/>
      <c r="I100" s="4754"/>
      <c r="J100" s="4754"/>
      <c r="L100" s="975">
        <f>'Part VI-Pro Forma'!K72</f>
        <v>8015229.4980212962</v>
      </c>
      <c r="M100" s="4757" t="s">
        <v>2634</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2635</v>
      </c>
      <c r="B104" s="4729"/>
      <c r="C104" s="4729"/>
      <c r="D104" s="1249"/>
      <c r="E104" s="1249"/>
      <c r="F104" s="1249"/>
      <c r="G104" s="1249"/>
      <c r="H104" s="1249"/>
      <c r="I104" s="1249"/>
      <c r="J104" s="535"/>
    </row>
    <row r="105" spans="1:14" ht="37.5" customHeight="1">
      <c r="A105" s="4727" t="s">
        <v>2636</v>
      </c>
      <c r="B105" s="4727"/>
      <c r="C105" s="4727"/>
      <c r="D105" s="4727"/>
      <c r="E105" s="4727"/>
      <c r="F105" s="4727"/>
      <c r="G105" s="4727"/>
      <c r="H105" s="4727"/>
      <c r="I105" s="4727"/>
      <c r="J105" s="4727"/>
    </row>
    <row r="106" spans="1:14" ht="6" customHeight="1">
      <c r="A106" s="522"/>
    </row>
    <row r="107" spans="1:14" ht="15">
      <c r="A107" s="522" t="s">
        <v>2637</v>
      </c>
    </row>
    <row r="108" spans="1:14" ht="43.5" customHeight="1">
      <c r="A108" s="4727" t="s">
        <v>2638</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49" t="s">
        <v>6066</v>
      </c>
      <c r="B120" s="4749"/>
      <c r="C120" s="4749"/>
      <c r="D120" s="4749"/>
      <c r="E120" s="4750"/>
      <c r="F120" s="1488" t="s">
        <v>6067</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Richmond Summit</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Richmond Summit</v>
      </c>
      <c r="D8" s="4764"/>
      <c r="E8" s="1020" t="str">
        <f>'Part I-Project Identification'!O7</f>
        <v>2023-0</v>
      </c>
      <c r="F8" s="510" t="s">
        <v>2648</v>
      </c>
      <c r="G8" s="507"/>
      <c r="H8" s="4764" t="str">
        <f>CONCATENATE('Part I-Project Identification'!F26,", ",'Part I-Project Identification'!J26)</f>
        <v>Augusta, Richmond</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3132</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135</v>
      </c>
      <c r="E13" s="970">
        <f>'Part V-Revenues &amp; Expenses'!$P$63</f>
        <v>135</v>
      </c>
      <c r="F13" s="510" t="s">
        <v>3453</v>
      </c>
      <c r="G13" s="507"/>
      <c r="H13" s="1021" t="e">
        <f>'Part I-Project Identification'!#REF!</f>
        <v>#REF!</v>
      </c>
      <c r="I13" s="971"/>
      <c r="J13" s="971"/>
      <c r="K13" s="1021">
        <f>'Part V-Revenues &amp; Expenses'!K175</f>
        <v>165257</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5" t="s">
        <v>3100</v>
      </c>
      <c r="I14" s="4745"/>
      <c r="J14" s="4745"/>
      <c r="K14" s="4745" t="s">
        <v>3100</v>
      </c>
      <c r="L14" s="4745"/>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31347921.201668195</v>
      </c>
      <c r="D18" s="1003">
        <f>IF(C18=0,"",$C$29/C18)</f>
        <v>0.34994345970909951</v>
      </c>
      <c r="E18" s="507" t="s">
        <v>2953</v>
      </c>
      <c r="F18" s="510" t="s">
        <v>2954</v>
      </c>
      <c r="G18" s="507"/>
      <c r="H18" s="4763">
        <f>'Part III-A-Uses of Funds'!C49</f>
        <v>14364000</v>
      </c>
      <c r="I18" s="4763"/>
      <c r="J18" s="1002">
        <f>IF(H18=0,"",$C$29/H18)</f>
        <v>0.76371484266221112</v>
      </c>
      <c r="K18" s="4764" t="s">
        <v>2955</v>
      </c>
      <c r="L18" s="4764"/>
      <c r="M18" s="507"/>
    </row>
    <row r="19" spans="1:13" ht="15.75">
      <c r="A19" s="510" t="s">
        <v>2660</v>
      </c>
      <c r="B19" s="507"/>
      <c r="C19" s="1022">
        <f>C18/C13</f>
        <v>232206.8237160607</v>
      </c>
      <c r="D19" s="507"/>
      <c r="E19" s="507"/>
      <c r="F19" s="510" t="s">
        <v>2660</v>
      </c>
      <c r="G19" s="507"/>
      <c r="H19" s="4765">
        <f>H18/C13</f>
        <v>106400</v>
      </c>
      <c r="I19" s="4765"/>
      <c r="J19" s="507"/>
      <c r="K19" s="507"/>
      <c r="L19" s="507"/>
      <c r="M19" s="507"/>
    </row>
    <row r="20" spans="1:13" ht="15.75">
      <c r="A20" s="510" t="s">
        <v>2661</v>
      </c>
      <c r="B20" s="507"/>
      <c r="C20" s="1020">
        <f>C18/K13</f>
        <v>189.69194165250607</v>
      </c>
      <c r="D20" s="548"/>
      <c r="E20" s="548"/>
      <c r="F20" s="510" t="s">
        <v>2661</v>
      </c>
      <c r="G20" s="507"/>
      <c r="H20" s="4764">
        <f>H18/K13</f>
        <v>86.919162274517873</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 Commercial Mortgage, LLC</v>
      </c>
      <c r="C25" s="553">
        <f>'Part II-Sources of Funds'!I40</f>
        <v>10970000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10970000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17236276.230611015</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10970000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0.34994345970909951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0.76371484266221112</v>
      </c>
      <c r="D40" s="507"/>
      <c r="E40" s="507"/>
      <c r="F40" s="510"/>
      <c r="G40" s="510" t="s">
        <v>2681</v>
      </c>
      <c r="H40" s="507"/>
      <c r="I40" s="507"/>
      <c r="K40" s="555">
        <f>C30/C18</f>
        <v>0.54983793406032222</v>
      </c>
      <c r="L40" s="507"/>
      <c r="M40" s="507"/>
    </row>
    <row r="46" spans="1:13" ht="15.75">
      <c r="A46" s="550" t="s">
        <v>2682</v>
      </c>
      <c r="B46" s="540"/>
      <c r="C46" s="540"/>
      <c r="D46" s="540"/>
      <c r="E46" s="540"/>
      <c r="F46" s="540"/>
      <c r="G46" s="540"/>
      <c r="H46" s="540"/>
      <c r="I46" s="540"/>
      <c r="J46" s="540"/>
      <c r="K46" s="540"/>
      <c r="L46" s="540"/>
      <c r="M46" s="507"/>
    </row>
    <row r="47" spans="1:13" ht="15.75">
      <c r="A47" s="550" t="str">
        <f>C8</f>
        <v>Richmond Summit</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39" t="s">
        <v>2685</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1701720</v>
      </c>
      <c r="D52" s="568"/>
      <c r="E52" s="568">
        <f>$C$52</f>
        <v>1701720</v>
      </c>
      <c r="F52" s="568"/>
      <c r="G52" s="568">
        <f>$C$52</f>
        <v>1701720</v>
      </c>
      <c r="H52" s="568"/>
      <c r="I52" s="568">
        <f>$C$52</f>
        <v>1701720</v>
      </c>
      <c r="J52" s="568"/>
      <c r="K52" s="568">
        <f>$C$52</f>
        <v>1701720</v>
      </c>
      <c r="L52" s="569"/>
      <c r="M52"/>
      <c r="N52"/>
    </row>
    <row r="53" spans="1:14" s="507" customFormat="1" ht="18.75" customHeight="1">
      <c r="B53" s="567" t="s">
        <v>2689</v>
      </c>
      <c r="C53" s="568">
        <f>'Part VI-Pro Forma'!B16</f>
        <v>34034.400000000001</v>
      </c>
      <c r="D53" s="568"/>
      <c r="E53" s="568">
        <f>$C$53</f>
        <v>34034.400000000001</v>
      </c>
      <c r="F53" s="568"/>
      <c r="G53" s="568">
        <f>$C$53</f>
        <v>34034.400000000001</v>
      </c>
      <c r="H53" s="568"/>
      <c r="I53" s="568">
        <f>$C$53</f>
        <v>34034.400000000001</v>
      </c>
      <c r="J53" s="568"/>
      <c r="K53" s="568">
        <f>$C$53</f>
        <v>34034.400000000001</v>
      </c>
      <c r="L53" s="569"/>
      <c r="M53"/>
      <c r="N53"/>
    </row>
    <row r="54" spans="1:14" s="507" customFormat="1" ht="18.75" customHeight="1">
      <c r="B54" s="567" t="s">
        <v>2687</v>
      </c>
      <c r="C54" s="568">
        <f>'Part VI-Pro Forma'!B17</f>
        <v>-86787.72</v>
      </c>
      <c r="D54" s="568"/>
      <c r="E54" s="568">
        <f>-($C$52+E53)*F50</f>
        <v>-173575.44</v>
      </c>
      <c r="F54" s="570"/>
      <c r="G54" s="568">
        <f>-($C$52+G53)*0.07</f>
        <v>-121502.808</v>
      </c>
      <c r="H54" s="568"/>
      <c r="I54" s="568">
        <f>-($C$52+I53)*0.07</f>
        <v>-121502.808</v>
      </c>
      <c r="J54" s="568"/>
      <c r="K54" s="568">
        <f>-($C$52+K53)*L54</f>
        <v>-173575.44</v>
      </c>
      <c r="L54" s="571">
        <v>0.1</v>
      </c>
      <c r="M54"/>
      <c r="N54"/>
    </row>
    <row r="55" spans="1:14" s="507" customFormat="1" ht="18.75" customHeight="1">
      <c r="B55" s="567" t="s">
        <v>2688</v>
      </c>
      <c r="C55" s="568">
        <f>'Part VI-Pro Forma'!B18</f>
        <v>82904</v>
      </c>
      <c r="D55" s="568"/>
      <c r="E55" s="568">
        <f>$C$55</f>
        <v>82904</v>
      </c>
      <c r="F55" s="570"/>
      <c r="G55" s="568">
        <f>$C$55</f>
        <v>82904</v>
      </c>
      <c r="H55" s="568"/>
      <c r="I55" s="568">
        <f>$C$55</f>
        <v>82904</v>
      </c>
      <c r="J55" s="568"/>
      <c r="K55" s="568">
        <f>$C$55</f>
        <v>82904</v>
      </c>
      <c r="L55" s="572"/>
      <c r="M55"/>
      <c r="N55"/>
    </row>
    <row r="56" spans="1:14" s="507" customFormat="1" ht="18.75" customHeight="1">
      <c r="B56" s="573" t="s">
        <v>2690</v>
      </c>
      <c r="C56" s="574">
        <f>SUM(C52:C55)</f>
        <v>1731870.68</v>
      </c>
      <c r="D56" s="568"/>
      <c r="E56" s="574">
        <f>SUM(E52:E55)</f>
        <v>1645082.96</v>
      </c>
      <c r="F56" s="568"/>
      <c r="G56" s="574">
        <f>SUM(G52:G55)</f>
        <v>1697155.5919999999</v>
      </c>
      <c r="H56" s="568"/>
      <c r="I56" s="574">
        <f>SUM(I52:I55)</f>
        <v>1697155.5919999999</v>
      </c>
      <c r="J56" s="568"/>
      <c r="K56" s="574">
        <f>SUM(K52:K55)</f>
        <v>1645082.96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378517</v>
      </c>
      <c r="D58" s="568"/>
      <c r="E58" s="568">
        <f>$C$58</f>
        <v>378517</v>
      </c>
      <c r="F58" s="568"/>
      <c r="G58" s="568">
        <f>$C$58</f>
        <v>378517</v>
      </c>
      <c r="H58" s="568"/>
      <c r="I58" s="568">
        <f>$C$58</f>
        <v>378517</v>
      </c>
      <c r="J58" s="568"/>
      <c r="K58" s="568">
        <f>$C$58</f>
        <v>378517</v>
      </c>
      <c r="L58" s="569"/>
      <c r="M58"/>
      <c r="N58"/>
    </row>
    <row r="59" spans="1:14" s="507" customFormat="1" ht="18.75" customHeight="1">
      <c r="B59" s="567" t="s">
        <v>2692</v>
      </c>
      <c r="C59" s="568">
        <f>+'Part V-Revenues &amp; Expenses'!F247</f>
        <v>67434</v>
      </c>
      <c r="D59" s="568"/>
      <c r="E59" s="568">
        <f>$C$59</f>
        <v>67434</v>
      </c>
      <c r="F59" s="568"/>
      <c r="G59" s="568">
        <f>$C$59</f>
        <v>67434</v>
      </c>
      <c r="H59" s="568"/>
      <c r="I59" s="568">
        <f>$C$59</f>
        <v>67434</v>
      </c>
      <c r="J59" s="568"/>
      <c r="K59" s="568">
        <f>$C$59*(1+$L$59)</f>
        <v>70131.360000000001</v>
      </c>
      <c r="L59" s="575">
        <v>0.04</v>
      </c>
      <c r="M59"/>
      <c r="N59"/>
    </row>
    <row r="60" spans="1:14" s="507" customFormat="1" ht="18.75" customHeight="1">
      <c r="B60" s="567" t="s">
        <v>1297</v>
      </c>
      <c r="C60" s="568">
        <f>+'Part V-Revenues &amp; Expenses'!L241</f>
        <v>153162.04</v>
      </c>
      <c r="D60" s="568"/>
      <c r="E60" s="568">
        <f>$C$60</f>
        <v>153162.04</v>
      </c>
      <c r="F60" s="568"/>
      <c r="G60" s="568">
        <f>$C$60</f>
        <v>153162.04</v>
      </c>
      <c r="H60" s="568"/>
      <c r="I60" s="568">
        <f>$C$60*(1+$J$50)</f>
        <v>157756.90120000002</v>
      </c>
      <c r="J60" s="570"/>
      <c r="K60" s="568">
        <f>$C$60*(1+$J$50)</f>
        <v>157756.90120000002</v>
      </c>
      <c r="L60" s="571">
        <v>0.03</v>
      </c>
      <c r="M60"/>
      <c r="N60"/>
    </row>
    <row r="61" spans="1:14" s="507" customFormat="1" ht="18.75" customHeight="1">
      <c r="B61" s="567" t="s">
        <v>1298</v>
      </c>
      <c r="C61" s="568">
        <f>+'Part V-Revenues &amp; Expenses'!L247</f>
        <v>198547.967936</v>
      </c>
      <c r="D61" s="568"/>
      <c r="E61" s="568">
        <f>$C$61</f>
        <v>198547.967936</v>
      </c>
      <c r="F61" s="568"/>
      <c r="G61" s="568">
        <f>$C$61*(1+H50)</f>
        <v>208475.36633280001</v>
      </c>
      <c r="H61" s="570"/>
      <c r="I61" s="568">
        <f>$C$61</f>
        <v>198547.967936</v>
      </c>
      <c r="J61" s="568"/>
      <c r="K61" s="568">
        <f>$C$61*(1+$L$61)</f>
        <v>208475.36633280001</v>
      </c>
      <c r="L61" s="571">
        <v>0.05</v>
      </c>
      <c r="M61"/>
      <c r="N61"/>
    </row>
    <row r="62" spans="1:14" s="507" customFormat="1" ht="18.75" customHeight="1">
      <c r="B62" s="573" t="s">
        <v>2693</v>
      </c>
      <c r="C62" s="574">
        <f>SUM(C58:C61)</f>
        <v>797661.00793600001</v>
      </c>
      <c r="D62" s="568"/>
      <c r="E62" s="574">
        <f>SUM(E58:E61)</f>
        <v>797661.00793600001</v>
      </c>
      <c r="F62" s="568"/>
      <c r="G62" s="574">
        <f>SUM(G58:G61)</f>
        <v>807588.40633280005</v>
      </c>
      <c r="H62" s="568"/>
      <c r="I62" s="574">
        <f>SUM(I58:I61)</f>
        <v>802255.86913599994</v>
      </c>
      <c r="J62" s="568"/>
      <c r="K62" s="574">
        <f>SUM(K58:K61)</f>
        <v>814880.62753280008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934209.67206399993</v>
      </c>
      <c r="D64" s="577"/>
      <c r="E64" s="577">
        <f>E56-E62</f>
        <v>847421.95206399995</v>
      </c>
      <c r="F64" s="577"/>
      <c r="G64" s="577">
        <f>G56-G62</f>
        <v>889567.1856671999</v>
      </c>
      <c r="H64" s="577"/>
      <c r="I64" s="577">
        <f>I56-I62</f>
        <v>894899.72286400001</v>
      </c>
      <c r="J64" s="577"/>
      <c r="K64" s="577">
        <f>K56-K62</f>
        <v>830202.33246719989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56700</v>
      </c>
      <c r="D66" s="568"/>
      <c r="E66" s="568">
        <f>$C$66</f>
        <v>56700</v>
      </c>
      <c r="F66" s="568"/>
      <c r="G66" s="568">
        <f>$C$66</f>
        <v>56700</v>
      </c>
      <c r="H66" s="568"/>
      <c r="I66" s="568">
        <f>$C$66</f>
        <v>56700</v>
      </c>
      <c r="J66" s="568"/>
      <c r="K66" s="568">
        <f>$C$66</f>
        <v>56700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60615</v>
      </c>
      <c r="D68" s="568"/>
      <c r="E68" s="568">
        <f>$C$68</f>
        <v>60615</v>
      </c>
      <c r="F68" s="568"/>
      <c r="G68" s="568">
        <f>$C$68</f>
        <v>60615</v>
      </c>
      <c r="H68" s="568"/>
      <c r="I68" s="568">
        <f>$C$68</f>
        <v>60615</v>
      </c>
      <c r="J68" s="568"/>
      <c r="K68" s="568">
        <f>$C$68</f>
        <v>60615</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816894.67206399993</v>
      </c>
      <c r="D70" s="577"/>
      <c r="E70" s="580">
        <f>E64-E66-E68</f>
        <v>730106.95206399995</v>
      </c>
      <c r="F70" s="577"/>
      <c r="G70" s="580">
        <f>G64-G66-G68</f>
        <v>772252.1856671999</v>
      </c>
      <c r="H70" s="577"/>
      <c r="I70" s="580">
        <f>I64-I66-I68</f>
        <v>777584.72286400001</v>
      </c>
      <c r="J70" s="577"/>
      <c r="K70" s="580">
        <f>K64-K66-K68</f>
        <v>712887.33246719989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1.2869273941126811</v>
      </c>
      <c r="D72" s="581"/>
      <c r="E72" s="1004">
        <f>-E70/E75</f>
        <v>1.1502029201258674</v>
      </c>
      <c r="F72" s="581"/>
      <c r="G72" s="1004">
        <f>-G70/G75</f>
        <v>1.2165980840436303</v>
      </c>
      <c r="H72" s="581"/>
      <c r="I72" s="1004">
        <f>-I70/I75</f>
        <v>1.2249989078381442</v>
      </c>
      <c r="J72" s="581"/>
      <c r="K72" s="1004">
        <f>-K70/K75</f>
        <v>1.123075310002851</v>
      </c>
      <c r="L72" s="4"/>
      <c r="M72" s="10"/>
      <c r="N72" s="10"/>
    </row>
    <row r="73" spans="1:14" s="507" customFormat="1" ht="18.75" customHeight="1">
      <c r="A73"/>
      <c r="B73" s="567" t="s">
        <v>2699</v>
      </c>
      <c r="C73" s="1005">
        <f>C76/C62</f>
        <v>0.22833141553745964</v>
      </c>
      <c r="D73" s="582"/>
      <c r="E73" s="1005">
        <f>E76/E62</f>
        <v>0.11952865454432941</v>
      </c>
      <c r="F73" s="582"/>
      <c r="G73" s="1005">
        <f>G76/G62</f>
        <v>0.17024585740227413</v>
      </c>
      <c r="H73" s="582"/>
      <c r="I73" s="1005">
        <f>I76/I62</f>
        <v>0.17802439764619846</v>
      </c>
      <c r="J73" s="582"/>
      <c r="K73" s="1005">
        <f>K76/K62</f>
        <v>9.5871376523942564E-2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-634763.60500293621</v>
      </c>
      <c r="D75" s="568"/>
      <c r="E75" s="568">
        <f>$C$75</f>
        <v>-634763.60500293621</v>
      </c>
      <c r="F75" s="568"/>
      <c r="G75" s="568">
        <f>$C$75</f>
        <v>-634763.60500293621</v>
      </c>
      <c r="H75" s="568"/>
      <c r="I75" s="568">
        <f>$C$75</f>
        <v>-634763.60500293621</v>
      </c>
      <c r="J75" s="568"/>
      <c r="K75" s="568">
        <f>$C$75</f>
        <v>-634763.60500293621</v>
      </c>
      <c r="L75" s="26"/>
      <c r="M75"/>
      <c r="N75"/>
    </row>
    <row r="76" spans="1:14" s="507" customFormat="1" ht="18.75" customHeight="1">
      <c r="A76"/>
      <c r="B76" s="567" t="s">
        <v>1096</v>
      </c>
      <c r="C76" s="568">
        <f>C70+C75</f>
        <v>182131.06706106372</v>
      </c>
      <c r="D76" s="568"/>
      <c r="E76" s="568">
        <f>E70+E75</f>
        <v>95343.347061063745</v>
      </c>
      <c r="F76" s="568"/>
      <c r="G76" s="568">
        <f>G70+G75</f>
        <v>137488.58066426369</v>
      </c>
      <c r="H76" s="568"/>
      <c r="I76" s="568">
        <f>I70+I75</f>
        <v>142821.1178610638</v>
      </c>
      <c r="J76" s="568"/>
      <c r="K76" s="568">
        <f>K70+K75</f>
        <v>78123.727464263677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3417</v>
      </c>
    </row>
    <row r="3" spans="1:7" ht="3" customHeight="1"/>
    <row r="4" spans="1:7">
      <c r="A4" s="953" t="s">
        <v>3418</v>
      </c>
      <c r="B4" s="954">
        <f>+'Part III-A-Uses of Funds'!$G$146</f>
        <v>31347921.201668195</v>
      </c>
    </row>
    <row r="5" spans="1:7">
      <c r="A5" s="953" t="s">
        <v>3449</v>
      </c>
      <c r="B5" s="954">
        <f>+B18+B26+B38</f>
        <v>10230163.308594305</v>
      </c>
    </row>
    <row r="6" spans="1:7">
      <c r="A6" s="953" t="s">
        <v>3419</v>
      </c>
      <c r="B6" s="955">
        <f>+B5-B4</f>
        <v>-21117757.89307389</v>
      </c>
    </row>
    <row r="7" spans="1:7">
      <c r="A7" s="953" t="s">
        <v>3420</v>
      </c>
      <c r="B7" s="956">
        <f>+B6/B4</f>
        <v>-0.6736573617503574</v>
      </c>
    </row>
    <row r="8" spans="1:7" ht="9" customHeight="1"/>
    <row r="9" spans="1:7">
      <c r="A9" s="953" t="s">
        <v>3421</v>
      </c>
      <c r="B9" s="954">
        <f>+B18+B26+B33</f>
        <v>7674770.5419253213</v>
      </c>
    </row>
    <row r="10" spans="1:7">
      <c r="A10" s="953" t="s">
        <v>3419</v>
      </c>
      <c r="B10" s="955">
        <f>+B9-B4</f>
        <v>-23673150.659742873</v>
      </c>
    </row>
    <row r="11" spans="1:7">
      <c r="A11" s="953" t="s">
        <v>3420</v>
      </c>
      <c r="B11" s="956">
        <f>+B10/B4</f>
        <v>-0.75517449809345238</v>
      </c>
    </row>
    <row r="12" spans="1:7" ht="24" customHeight="1"/>
    <row r="13" spans="1:7">
      <c r="A13" s="952" t="s">
        <v>3422</v>
      </c>
      <c r="D13" s="1010" t="s">
        <v>3666</v>
      </c>
      <c r="E13" s="1011"/>
    </row>
    <row r="14" spans="1:7">
      <c r="A14" s="953" t="s">
        <v>3423</v>
      </c>
      <c r="B14" s="957">
        <f>+SUM('Part II-Sources of Funds'!L51:M52)</f>
        <v>17238000</v>
      </c>
      <c r="D14" s="1011"/>
      <c r="E14" s="1011"/>
    </row>
    <row r="15" spans="1:7">
      <c r="A15" s="953" t="s">
        <v>3424</v>
      </c>
      <c r="B15" s="958">
        <f>+'Part III-A-Uses of Funds'!J180</f>
        <v>1782252.8434999208</v>
      </c>
      <c r="D15" s="1011" t="s">
        <v>1895</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-17238000</v>
      </c>
      <c r="D20" s="1011" t="s">
        <v>3671</v>
      </c>
      <c r="G20" s="1014">
        <f>+B14-G19</f>
        <v>17238000</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10970000</v>
      </c>
    </row>
    <row r="25" spans="1:7">
      <c r="A25" s="953" t="s">
        <v>3431</v>
      </c>
      <c r="B25" s="961">
        <f>IF('Part II-Sources of Funds'!E6="Yes","N/A",MAX(B46:P46))</f>
        <v>-45981.955050397082</v>
      </c>
    </row>
    <row r="26" spans="1:7">
      <c r="A26" s="953" t="s">
        <v>3432</v>
      </c>
      <c r="B26" s="951">
        <f>IFERROR(PV('Part II-Sources of Funds'!K40,'Part II-Sources of Funds'!L40,B25+B45),B24)</f>
        <v>7674770.5419253213</v>
      </c>
    </row>
    <row r="27" spans="1:7" ht="9" customHeight="1">
      <c r="B27" s="951"/>
    </row>
    <row r="28" spans="1:7">
      <c r="A28" s="953" t="s">
        <v>3433</v>
      </c>
      <c r="B28" s="962">
        <f>+B26-B24</f>
        <v>-3295229.4580746787</v>
      </c>
      <c r="C28" s="963"/>
    </row>
    <row r="29" spans="1:7">
      <c r="A29" s="953" t="s">
        <v>3428</v>
      </c>
      <c r="B29" s="964">
        <f>+B28/B24</f>
        <v>-0.30038554768228609</v>
      </c>
    </row>
    <row r="30" spans="1:7" ht="24" customHeight="1"/>
    <row r="31" spans="1:7">
      <c r="A31" s="952" t="s">
        <v>3363</v>
      </c>
    </row>
    <row r="32" spans="1:7">
      <c r="A32" s="953" t="s">
        <v>3434</v>
      </c>
      <c r="B32" s="965">
        <f>+'Part II-Sources of Funds'!I45</f>
        <v>589852.13499920815</v>
      </c>
    </row>
    <row r="33" spans="1:11">
      <c r="A33" s="953" t="s">
        <v>3435</v>
      </c>
      <c r="B33" s="951"/>
    </row>
    <row r="34" spans="1:11" ht="9" customHeight="1">
      <c r="B34" s="951"/>
    </row>
    <row r="35" spans="1:11">
      <c r="A35" s="953" t="s">
        <v>3436</v>
      </c>
      <c r="B35" s="965">
        <f>+B33-B32</f>
        <v>-589852.13499920815</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2555392.7666689847</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816894.67206399993</v>
      </c>
      <c r="C44" s="954">
        <f>+'Part VI-Pro Forma'!C25</f>
        <v>824688.25542592024</v>
      </c>
      <c r="D44" s="954">
        <f>+'Part VI-Pro Forma'!D25</f>
        <v>832382.66215269733</v>
      </c>
      <c r="E44" s="954">
        <f>+'Part VI-Pro Forma'!E25</f>
        <v>839965.67946255859</v>
      </c>
      <c r="F44" s="954">
        <f>+'Part VI-Pro Forma'!F25</f>
        <v>847429.67964062095</v>
      </c>
      <c r="G44" s="954">
        <f>+'Part VI-Pro Forma'!G25</f>
        <v>854762.6048199092</v>
      </c>
      <c r="H44" s="954">
        <f>+'Part VI-Pro Forma'!H25</f>
        <v>861952.95125037711</v>
      </c>
      <c r="I44" s="954">
        <f>+'Part VI-Pro Forma'!I25</f>
        <v>868990.753039476</v>
      </c>
      <c r="J44" s="954">
        <f>+'Part VI-Pro Forma'!J25</f>
        <v>875862.56534728035</v>
      </c>
      <c r="K44" s="954">
        <f>+'Part VI-Pro Forma'!K25</f>
        <v>882557.44701865118</v>
      </c>
    </row>
    <row r="45" spans="1:11">
      <c r="A45" s="953" t="s">
        <v>3440</v>
      </c>
      <c r="B45" s="954">
        <f>SUM('Part VI-Pro Forma'!B26:B29)</f>
        <v>-634763.60500293621</v>
      </c>
      <c r="C45" s="954">
        <f>SUM('Part VI-Pro Forma'!C26:C29)</f>
        <v>-634763.60500293621</v>
      </c>
      <c r="D45" s="954">
        <f>SUM('Part VI-Pro Forma'!D26:D29)</f>
        <v>-634763.60500293621</v>
      </c>
      <c r="E45" s="954">
        <f>SUM('Part VI-Pro Forma'!E26:E29)</f>
        <v>-634763.60500293621</v>
      </c>
      <c r="F45" s="954">
        <f>SUM('Part VI-Pro Forma'!F26:F29)</f>
        <v>-634763.60500293621</v>
      </c>
      <c r="G45" s="954">
        <f>SUM('Part VI-Pro Forma'!G26:G29)</f>
        <v>-634763.60500293621</v>
      </c>
      <c r="H45" s="954">
        <f>SUM('Part VI-Pro Forma'!H26:H29)</f>
        <v>-634763.60500293621</v>
      </c>
      <c r="I45" s="954">
        <f>SUM('Part VI-Pro Forma'!I26:I29)</f>
        <v>-634763.60500293621</v>
      </c>
      <c r="J45" s="954">
        <f>SUM('Part VI-Pro Forma'!J26:J29)</f>
        <v>-634763.60500293621</v>
      </c>
      <c r="K45" s="954">
        <f>SUM('Part VI-Pro Forma'!K26:K29)</f>
        <v>-634763.60500293621</v>
      </c>
    </row>
    <row r="46" spans="1:11">
      <c r="A46" s="953" t="s">
        <v>3441</v>
      </c>
      <c r="B46" s="955">
        <f t="shared" ref="B46:K46" si="0">-B44/B48-B45</f>
        <v>-45981.955050397082</v>
      </c>
      <c r="C46" s="955">
        <f t="shared" si="0"/>
        <v>-52476.607851997367</v>
      </c>
      <c r="D46" s="955">
        <f t="shared" si="0"/>
        <v>-58888.61345764494</v>
      </c>
      <c r="E46" s="955">
        <f t="shared" si="0"/>
        <v>-65207.794549196027</v>
      </c>
      <c r="F46" s="955">
        <f t="shared" si="0"/>
        <v>-71427.794697581325</v>
      </c>
      <c r="G46" s="955">
        <f t="shared" si="0"/>
        <v>-77538.565680321539</v>
      </c>
      <c r="H46" s="955">
        <f t="shared" si="0"/>
        <v>-83530.521039044717</v>
      </c>
      <c r="I46" s="955">
        <f t="shared" si="0"/>
        <v>-89395.355863293866</v>
      </c>
      <c r="J46" s="955">
        <f t="shared" si="0"/>
        <v>-95121.866119797458</v>
      </c>
      <c r="K46" s="955">
        <f t="shared" si="0"/>
        <v>-100700.93417927308</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816894.67206399993</v>
      </c>
      <c r="C51" s="955">
        <f t="shared" ref="C51:K51" si="2">+C44</f>
        <v>824688.25542592024</v>
      </c>
      <c r="D51" s="955">
        <f t="shared" si="2"/>
        <v>832382.66215269733</v>
      </c>
      <c r="E51" s="955">
        <f t="shared" si="2"/>
        <v>839965.67946255859</v>
      </c>
      <c r="F51" s="955">
        <f t="shared" si="2"/>
        <v>847429.67964062095</v>
      </c>
      <c r="G51" s="955">
        <f t="shared" si="2"/>
        <v>854762.6048199092</v>
      </c>
      <c r="H51" s="955">
        <f t="shared" si="2"/>
        <v>861952.95125037711</v>
      </c>
      <c r="I51" s="955">
        <f t="shared" si="2"/>
        <v>868990.753039476</v>
      </c>
      <c r="J51" s="955">
        <f t="shared" si="2"/>
        <v>875862.56534728035</v>
      </c>
      <c r="K51" s="955">
        <f t="shared" si="2"/>
        <v>882557.44701865118</v>
      </c>
    </row>
    <row r="52" spans="1:17">
      <c r="A52" s="953" t="s">
        <v>3443</v>
      </c>
      <c r="B52" s="955">
        <f>IF($B$25="N/A",B45,B45+$B$25)</f>
        <v>-680745.56005333329</v>
      </c>
      <c r="C52" s="955">
        <f t="shared" ref="C52:K52" si="3">IF($B$25="N/A",C45,C45+$B$25)</f>
        <v>-680745.56005333329</v>
      </c>
      <c r="D52" s="955">
        <f t="shared" si="3"/>
        <v>-680745.56005333329</v>
      </c>
      <c r="E52" s="955">
        <f t="shared" si="3"/>
        <v>-680745.56005333329</v>
      </c>
      <c r="F52" s="955">
        <f t="shared" si="3"/>
        <v>-680745.56005333329</v>
      </c>
      <c r="G52" s="955">
        <f t="shared" si="3"/>
        <v>-680745.56005333329</v>
      </c>
      <c r="H52" s="955">
        <f t="shared" si="3"/>
        <v>-680745.56005333329</v>
      </c>
      <c r="I52" s="955">
        <f t="shared" si="3"/>
        <v>-680745.56005333329</v>
      </c>
      <c r="J52" s="955">
        <f t="shared" si="3"/>
        <v>-680745.56005333329</v>
      </c>
      <c r="K52" s="955">
        <f t="shared" si="3"/>
        <v>-680745.56005333329</v>
      </c>
    </row>
    <row r="53" spans="1:17">
      <c r="A53" s="953" t="s">
        <v>3444</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3445</v>
      </c>
      <c r="B54" s="955">
        <f>+SUM(B51:B53)</f>
        <v>128649.11201066663</v>
      </c>
      <c r="C54" s="955">
        <f t="shared" ref="C54:K54" si="4">+SUM(C51:C53)</f>
        <v>136442.69537258695</v>
      </c>
      <c r="D54" s="955">
        <f t="shared" si="4"/>
        <v>144137.10209936404</v>
      </c>
      <c r="E54" s="955">
        <f t="shared" si="4"/>
        <v>151720.1194092253</v>
      </c>
      <c r="F54" s="955">
        <f t="shared" si="4"/>
        <v>159184.11958728766</v>
      </c>
      <c r="G54" s="955">
        <f t="shared" si="4"/>
        <v>166517.04476657591</v>
      </c>
      <c r="H54" s="955">
        <f t="shared" si="4"/>
        <v>173707.39119704382</v>
      </c>
      <c r="I54" s="955">
        <f t="shared" si="4"/>
        <v>180745.19298614271</v>
      </c>
      <c r="J54" s="955">
        <f t="shared" si="4"/>
        <v>187617.00529394706</v>
      </c>
      <c r="K54" s="955">
        <f t="shared" si="4"/>
        <v>194311.88696531788</v>
      </c>
    </row>
    <row r="55" spans="1:17">
      <c r="A55" s="953" t="s">
        <v>3363</v>
      </c>
      <c r="B55" s="955">
        <f>-B54</f>
        <v>-128649.11201066663</v>
      </c>
      <c r="C55" s="955">
        <f t="shared" ref="C55:K55" si="5">-C54</f>
        <v>-136442.69537258695</v>
      </c>
      <c r="D55" s="955">
        <f t="shared" si="5"/>
        <v>-144137.10209936404</v>
      </c>
      <c r="E55" s="955">
        <f t="shared" si="5"/>
        <v>-151720.1194092253</v>
      </c>
      <c r="F55" s="955">
        <f t="shared" si="5"/>
        <v>-159184.11958728766</v>
      </c>
      <c r="G55" s="955">
        <f t="shared" si="5"/>
        <v>-166517.04476657591</v>
      </c>
      <c r="H55" s="955">
        <f t="shared" si="5"/>
        <v>-173707.39119704382</v>
      </c>
      <c r="I55" s="955">
        <f t="shared" si="5"/>
        <v>-180745.19298614271</v>
      </c>
      <c r="J55" s="955">
        <f t="shared" si="5"/>
        <v>-187617.00529394706</v>
      </c>
      <c r="K55" s="955">
        <f t="shared" si="5"/>
        <v>-194311.88696531788</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7370861.6721191993</v>
      </c>
      <c r="C58" s="954">
        <f>IF($B$26="","",-FV('Part II-Sources of Funds'!$K$40/12,12,C52/12,B58))</f>
        <v>7051404.2477507032</v>
      </c>
      <c r="D58" s="954">
        <f>IF($B$26="","",-FV('Part II-Sources of Funds'!$K$40/12,12,D52/12,C58))</f>
        <v>6715602.7752591046</v>
      </c>
      <c r="E58" s="954">
        <f>IF($B$26="","",-FV('Part II-Sources of Funds'!$K$40/12,12,E52/12,D58))</f>
        <v>6362621.0621233555</v>
      </c>
      <c r="F58" s="954">
        <f>IF($B$26="","",-FV('Part II-Sources of Funds'!$K$40/12,12,F52/12,E58))</f>
        <v>5991580.1346260356</v>
      </c>
      <c r="G58" s="954">
        <f>IF($B$26="","",-FV('Part II-Sources of Funds'!$K$40/12,12,G52/12,F58))</f>
        <v>5601556.0490861544</v>
      </c>
      <c r="H58" s="954">
        <f>IF($B$26="","",-FV('Part II-Sources of Funds'!$K$40/12,12,H52/12,G58))</f>
        <v>5191577.5911104651</v>
      </c>
      <c r="I58" s="954">
        <f>IF($B$26="","",-FV('Part II-Sources of Funds'!$K$40/12,12,I52/12,H58))</f>
        <v>4760623.8571341131</v>
      </c>
      <c r="J58" s="954">
        <f>IF($B$26="","",-FV('Part II-Sources of Funds'!$K$40/12,12,J52/12,I58))</f>
        <v>4307621.7122283112</v>
      </c>
      <c r="K58" s="954">
        <f>IF($B$26="","",-FV('Part II-Sources of Funds'!$K$40/12,12,K52/12,J58))</f>
        <v>3831443.1178446328</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889060.94263438205</v>
      </c>
      <c r="C64" s="954">
        <f>+'Part VI-Pro Forma'!C57</f>
        <v>895360.06396268727</v>
      </c>
      <c r="D64" s="954">
        <f>+'Part VI-Pro Forma'!D57</f>
        <v>901441.27079182921</v>
      </c>
      <c r="E64" s="954">
        <f>+'Part VI-Pro Forma'!E57</f>
        <v>907288.45112404949</v>
      </c>
      <c r="F64" s="954">
        <f>+'Part VI-Pro Forma'!F57</f>
        <v>912887.90071040601</v>
      </c>
      <c r="G64" s="954">
        <f>+'Part VI-Pro Forma'!G57</f>
        <v>918223.30190540489</v>
      </c>
      <c r="H64" s="954">
        <f>+'Part VI-Pro Forma'!H57</f>
        <v>923276.70181972894</v>
      </c>
      <c r="I64" s="954">
        <f>+'Part VI-Pro Forma'!I57</f>
        <v>928032.48974862532</v>
      </c>
      <c r="J64" s="954">
        <f>+'Part VI-Pro Forma'!J57</f>
        <v>932471.37385287369</v>
      </c>
      <c r="K64" s="954">
        <f>+'Part VI-Pro Forma'!K57</f>
        <v>936576.3570684864</v>
      </c>
    </row>
    <row r="65" spans="1:11">
      <c r="A65" s="953" t="s">
        <v>3440</v>
      </c>
      <c r="B65" s="954">
        <f>SUM('Part VI-Pro Forma'!B58:B61)</f>
        <v>-634763.60500293621</v>
      </c>
      <c r="C65" s="954">
        <f>SUM('Part VI-Pro Forma'!C58:C61)</f>
        <v>-634763.60500293621</v>
      </c>
      <c r="D65" s="954">
        <f>SUM('Part VI-Pro Forma'!D58:D61)</f>
        <v>-634763.60500293621</v>
      </c>
      <c r="E65" s="954">
        <f>SUM('Part VI-Pro Forma'!E58:E61)</f>
        <v>-634763.60500293621</v>
      </c>
      <c r="F65" s="954">
        <f>SUM('Part VI-Pro Forma'!F58:F61)</f>
        <v>-634763.60500293621</v>
      </c>
      <c r="G65" s="954">
        <f>SUM('Part VI-Pro Forma'!G58:G61)</f>
        <v>-634763.60500293621</v>
      </c>
      <c r="H65" s="954">
        <f>SUM('Part VI-Pro Forma'!H58:H61)</f>
        <v>-634763.60500293621</v>
      </c>
      <c r="I65" s="954">
        <f>SUM('Part VI-Pro Forma'!I58:I61)</f>
        <v>-634763.60500293621</v>
      </c>
      <c r="J65" s="954">
        <f>SUM('Part VI-Pro Forma'!J58:J61)</f>
        <v>-634763.60500293621</v>
      </c>
      <c r="K65" s="954">
        <f>SUM('Part VI-Pro Forma'!K58:K61)</f>
        <v>-634763.60500293621</v>
      </c>
    </row>
    <row r="66" spans="1:11">
      <c r="A66" s="953" t="s">
        <v>3441</v>
      </c>
      <c r="B66" s="955">
        <f t="shared" ref="B66:K66" si="7">-B64/B68-B65</f>
        <v>-106120.51385904884</v>
      </c>
      <c r="C66" s="955">
        <f t="shared" si="7"/>
        <v>-111369.78163263656</v>
      </c>
      <c r="D66" s="955">
        <f t="shared" si="7"/>
        <v>-116437.45399025478</v>
      </c>
      <c r="E66" s="955">
        <f t="shared" si="7"/>
        <v>-121310.10426710511</v>
      </c>
      <c r="F66" s="955">
        <f t="shared" si="7"/>
        <v>-125976.31225573551</v>
      </c>
      <c r="G66" s="955">
        <f t="shared" si="7"/>
        <v>-130422.47991823452</v>
      </c>
      <c r="H66" s="955">
        <f t="shared" si="7"/>
        <v>-134633.64651350456</v>
      </c>
      <c r="I66" s="955">
        <f t="shared" si="7"/>
        <v>-138596.80312091822</v>
      </c>
      <c r="J66" s="955">
        <f t="shared" si="7"/>
        <v>-142295.87320779194</v>
      </c>
      <c r="K66" s="955">
        <f t="shared" si="7"/>
        <v>-145716.69255413581</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889060.94263438205</v>
      </c>
      <c r="C71" s="955">
        <f t="shared" si="9"/>
        <v>895360.06396268727</v>
      </c>
      <c r="D71" s="955">
        <f t="shared" si="9"/>
        <v>901441.27079182921</v>
      </c>
      <c r="E71" s="955">
        <f t="shared" si="9"/>
        <v>907288.45112404949</v>
      </c>
      <c r="F71" s="955">
        <f t="shared" si="9"/>
        <v>912887.90071040601</v>
      </c>
      <c r="G71" s="955">
        <f t="shared" si="9"/>
        <v>918223.30190540489</v>
      </c>
      <c r="H71" s="955">
        <f>+H64</f>
        <v>923276.70181972894</v>
      </c>
      <c r="I71" s="955">
        <f>+I64</f>
        <v>928032.48974862532</v>
      </c>
      <c r="J71" s="955">
        <f>+J64</f>
        <v>932471.37385287369</v>
      </c>
      <c r="K71" s="955">
        <f>+K64</f>
        <v>936576.3570684864</v>
      </c>
    </row>
    <row r="72" spans="1:11">
      <c r="A72" s="953" t="s">
        <v>3443</v>
      </c>
      <c r="B72" s="955">
        <f t="shared" ref="B72:G72" si="10">IF($B$25="N/A",B65,B65+$B$25)</f>
        <v>-680745.56005333329</v>
      </c>
      <c r="C72" s="955">
        <f t="shared" si="10"/>
        <v>-680745.56005333329</v>
      </c>
      <c r="D72" s="955">
        <f t="shared" si="10"/>
        <v>-680745.56005333329</v>
      </c>
      <c r="E72" s="955">
        <f t="shared" si="10"/>
        <v>-680745.56005333329</v>
      </c>
      <c r="F72" s="955">
        <f t="shared" si="10"/>
        <v>-680745.56005333329</v>
      </c>
      <c r="G72" s="955">
        <f t="shared" si="10"/>
        <v>-680745.56005333329</v>
      </c>
      <c r="H72" s="955">
        <f>IF($B$25="N/A",H65,H65+$B$25)</f>
        <v>-680745.56005333329</v>
      </c>
      <c r="I72" s="955">
        <f>IF($B$25="N/A",I65,I65+$B$25)</f>
        <v>-680745.56005333329</v>
      </c>
      <c r="J72" s="955">
        <f>IF($B$25="N/A",J65,J65+$B$25)</f>
        <v>-680745.56005333329</v>
      </c>
      <c r="K72" s="955">
        <f>IF($B$25="N/A",K65,K65+$B$25)</f>
        <v>-680745.56005333329</v>
      </c>
    </row>
    <row r="73" spans="1:11">
      <c r="A73" s="953" t="s">
        <v>3444</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3445</v>
      </c>
      <c r="B74" s="955">
        <f t="shared" ref="B74:G74" si="11">+SUM(B71:B73)</f>
        <v>200815.38258104876</v>
      </c>
      <c r="C74" s="955">
        <f t="shared" si="11"/>
        <v>207114.50390935398</v>
      </c>
      <c r="D74" s="955">
        <f t="shared" si="11"/>
        <v>213195.71073849592</v>
      </c>
      <c r="E74" s="955">
        <f t="shared" si="11"/>
        <v>219042.8910707162</v>
      </c>
      <c r="F74" s="955">
        <f t="shared" si="11"/>
        <v>224642.34065707272</v>
      </c>
      <c r="G74" s="955">
        <f t="shared" si="11"/>
        <v>229977.7418520716</v>
      </c>
      <c r="H74" s="955">
        <f>+SUM(H71:H73)</f>
        <v>235031.14176639565</v>
      </c>
      <c r="I74" s="955">
        <f>+SUM(I71:I73)</f>
        <v>239786.92969529203</v>
      </c>
      <c r="J74" s="955">
        <f>+SUM(J71:J73)</f>
        <v>244225.8137995404</v>
      </c>
      <c r="K74" s="955">
        <f>+SUM(K71:K73)</f>
        <v>248330.7970151531</v>
      </c>
    </row>
    <row r="75" spans="1:11">
      <c r="A75" s="953" t="s">
        <v>3363</v>
      </c>
      <c r="B75" s="955">
        <f t="shared" ref="B75:G75" si="12">-B74</f>
        <v>-200815.38258104876</v>
      </c>
      <c r="C75" s="955">
        <f t="shared" si="12"/>
        <v>-207114.50390935398</v>
      </c>
      <c r="D75" s="955">
        <f t="shared" si="12"/>
        <v>-213195.71073849592</v>
      </c>
      <c r="E75" s="955">
        <f t="shared" si="12"/>
        <v>-219042.8910707162</v>
      </c>
      <c r="F75" s="955">
        <f t="shared" si="12"/>
        <v>-224642.34065707272</v>
      </c>
      <c r="G75" s="955">
        <f t="shared" si="12"/>
        <v>-229977.7418520716</v>
      </c>
      <c r="H75" s="955">
        <f>-H74</f>
        <v>-235031.14176639565</v>
      </c>
      <c r="I75" s="955">
        <f>-I74</f>
        <v>-239786.92969529203</v>
      </c>
      <c r="J75" s="955">
        <f>-J74</f>
        <v>-244225.8137995404</v>
      </c>
      <c r="K75" s="955">
        <f>-K74</f>
        <v>-248330.7970151531</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3330902.3228416289</v>
      </c>
      <c r="C78" s="954">
        <f>IF($B$26="","",-FV('Part II-Sources of Funds'!$K$40/12,12,C72/12,B78))</f>
        <v>2804752.91079904</v>
      </c>
      <c r="D78" s="954">
        <f>IF($B$26="","",-FV('Part II-Sources of Funds'!$K$40/12,12,D72/12,C78))</f>
        <v>2251684.6962669939</v>
      </c>
      <c r="E78" s="954">
        <f>IF($B$26="","",-FV('Part II-Sources of Funds'!$K$40/12,12,E72/12,D78))</f>
        <v>1670320.4622214264</v>
      </c>
      <c r="F78" s="954">
        <f>IF($B$26="","",-FV('Part II-Sources of Funds'!$K$40/12,12,F72/12,E78))</f>
        <v>1059212.5306015275</v>
      </c>
      <c r="G78" s="954">
        <f>IF($B$26="","",-FV('Part II-Sources of Funds'!$K$40/12,12,G72/12,F78))</f>
        <v>416839.1573893741</v>
      </c>
      <c r="H78" s="954">
        <f>IF($B$26="","",-FV('Part II-Sources of Funds'!$K$40/12,12,H72/12,G78))</f>
        <v>-258399.25674500415</v>
      </c>
      <c r="I78" s="954">
        <f>IF($B$26="","",-FV('Part II-Sources of Funds'!$K$40/12,12,I72/12,H78))</f>
        <v>-968184.14966914908</v>
      </c>
      <c r="J78" s="954">
        <f>IF($B$26="","",-FV('Part II-Sources of Funds'!$K$40/12,12,J72/12,I78))</f>
        <v>-1714282.9848030764</v>
      </c>
      <c r="K78" s="954">
        <f>IF($B$26="","",-FV('Part II-Sources of Funds'!$K$40/12,12,K72/12,J78))</f>
        <v>-2498553.6523498059</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Richmond Summit</v>
      </c>
    </row>
    <row r="2" spans="1:15" ht="13.5" customHeight="1"/>
    <row r="3" spans="1:15" ht="13.5" customHeight="1">
      <c r="A3" s="517" t="s">
        <v>2706</v>
      </c>
      <c r="C3" s="516" t="s">
        <v>2707</v>
      </c>
      <c r="E3" s="586">
        <f>SUM('Part III-A-Uses of Funds'!J162,'Part III-A-Uses of Funds'!M162,'Part III-A-Uses of Funds'!P162)</f>
        <v>20545854.112883147</v>
      </c>
      <c r="F3" s="1024" t="s">
        <v>2708</v>
      </c>
      <c r="H3" s="1006">
        <v>27.5</v>
      </c>
      <c r="I3" s="516" t="s">
        <v>2273</v>
      </c>
      <c r="K3" s="521" t="s">
        <v>2729</v>
      </c>
      <c r="M3" s="1024"/>
      <c r="O3" s="587"/>
    </row>
    <row r="4" spans="1:15" ht="13.5" customHeight="1">
      <c r="C4" s="516" t="s">
        <v>3128</v>
      </c>
      <c r="E4" s="586">
        <f>SUM('Part III-A-Uses of Funds'!G97:H101)</f>
        <v>48750</v>
      </c>
      <c r="F4" s="1024" t="s">
        <v>3663</v>
      </c>
      <c r="H4" s="517">
        <f>'Part II-Sources of Funds'!M40</f>
        <v>40</v>
      </c>
      <c r="I4" s="516" t="s">
        <v>2273</v>
      </c>
      <c r="K4" s="588" t="s">
        <v>2957</v>
      </c>
      <c r="M4" s="1024"/>
    </row>
    <row r="5" spans="1:15" ht="13.5" customHeight="1">
      <c r="C5" s="516" t="s">
        <v>3129</v>
      </c>
      <c r="E5" s="586">
        <f>SUM('Part III-A-Uses of Funds'!G105:H111)</f>
        <v>233200</v>
      </c>
      <c r="F5" s="1024" t="s">
        <v>3662</v>
      </c>
      <c r="H5" s="1006">
        <v>15</v>
      </c>
      <c r="I5" s="516" t="s">
        <v>2273</v>
      </c>
      <c r="K5" s="587">
        <f>-E6</f>
        <v>-17236276.230611015</v>
      </c>
    </row>
    <row r="6" spans="1:15" ht="13.5" customHeight="1">
      <c r="C6" s="516" t="s">
        <v>2709</v>
      </c>
      <c r="E6" s="589">
        <f>'Part II-Sources of Funds'!$I$51+'Part II-Sources of Funds'!$I$52</f>
        <v>17236276.230611015</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174631.06706106372</v>
      </c>
      <c r="D9" s="594">
        <f>'Part VI-Pro Forma'!C33</f>
        <v>138449.79143645219</v>
      </c>
      <c r="E9" s="594">
        <f>'Part VI-Pro Forma'!D33</f>
        <v>95271.29393869749</v>
      </c>
      <c r="F9" s="594">
        <f>'Part VI-Pro Forma'!E33</f>
        <v>92889.764081952235</v>
      </c>
      <c r="G9" s="594">
        <f>'Part VI-Pro Forma'!F33</f>
        <v>95659.81561713056</v>
      </c>
      <c r="H9" s="594">
        <f>'Part VI-Pro Forma'!G33</f>
        <v>98507.840270619199</v>
      </c>
      <c r="I9" s="594">
        <f>'Part VI-Pro Forma'!H33</f>
        <v>196891.62510758365</v>
      </c>
      <c r="K9" s="587" t="e">
        <f>F24</f>
        <v>#VALUE!</v>
      </c>
      <c r="N9" s="595" t="s">
        <v>2715</v>
      </c>
    </row>
    <row r="10" spans="1:15" ht="13.5" customHeight="1">
      <c r="A10" s="516" t="s">
        <v>2714</v>
      </c>
      <c r="C10" s="978">
        <f>'Part II-Sources of Funds'!I40-'Part VI-Pro Forma'!B40</f>
        <v>88268.195001408458</v>
      </c>
      <c r="D10" s="596">
        <f>'Part VI-Pro Forma'!B40-'Part VI-Pro Forma'!C40</f>
        <v>92784.163380274549</v>
      </c>
      <c r="E10" s="596">
        <f>'Part VI-Pro Forma'!C40-'Part VI-Pro Forma'!D40</f>
        <v>97531.177272178233</v>
      </c>
      <c r="F10" s="596">
        <f>'Part VI-Pro Forma'!D40-'Part VI-Pro Forma'!E40</f>
        <v>102521.05740406178</v>
      </c>
      <c r="G10" s="596">
        <f>'Part VI-Pro Forma'!E40-'Part VI-Pro Forma'!F40</f>
        <v>107766.22927369736</v>
      </c>
      <c r="H10" s="596">
        <f>'Part VI-Pro Forma'!F40-'Part VI-Pro Forma'!G40</f>
        <v>113279.75409089774</v>
      </c>
      <c r="I10" s="596">
        <f>'Part VI-Pro Forma'!G40-'Part VI-Pro Forma'!H40</f>
        <v>119075.36130176298</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-56700</v>
      </c>
      <c r="D13" s="979">
        <f>'Part VI-Pro Forma'!C23</f>
        <v>-58401</v>
      </c>
      <c r="E13" s="979">
        <f>'Part VI-Pro Forma'!D23</f>
        <v>-60153.03</v>
      </c>
      <c r="F13" s="979">
        <f>'Part VI-Pro Forma'!E23</f>
        <v>-61957.620900000002</v>
      </c>
      <c r="G13" s="979">
        <f>'Part VI-Pro Forma'!F23</f>
        <v>-63816.349526999998</v>
      </c>
      <c r="H13" s="979">
        <f>'Part VI-Pro Forma'!G23</f>
        <v>-65730.840012809989</v>
      </c>
      <c r="I13" s="979">
        <f>'Part VI-Pro Forma'!H23</f>
        <v>-67702.765213194289</v>
      </c>
      <c r="K13" s="587" t="e">
        <f>C44</f>
        <v>#VALUE!</v>
      </c>
      <c r="O13" s="592"/>
    </row>
    <row r="14" spans="1:15" ht="13.5" customHeight="1">
      <c r="A14" s="598" t="s">
        <v>3131</v>
      </c>
      <c r="B14" s="598"/>
      <c r="C14" s="979">
        <f>'Part VI-Pro Forma'!B32</f>
        <v>0</v>
      </c>
      <c r="D14" s="979">
        <f>'Part VI-Pro Forma'!C32</f>
        <v>-43974.858986531865</v>
      </c>
      <c r="E14" s="979">
        <f>'Part VI-Pro Forma'!D32</f>
        <v>-94847.763211063633</v>
      </c>
      <c r="F14" s="979">
        <f>'Part VI-Pro Forma'!E32</f>
        <v>-104812.31037767015</v>
      </c>
      <c r="G14" s="979">
        <f>'Part VI-Pro Forma'!F32</f>
        <v>-109506.25902055418</v>
      </c>
      <c r="H14" s="979">
        <f>'Part VI-Pro Forma'!G32</f>
        <v>-113991.1595463538</v>
      </c>
      <c r="I14" s="979">
        <f>'Part VI-Pro Forma'!H32</f>
        <v>-22797.721139857254</v>
      </c>
      <c r="K14" s="587" t="e">
        <f>D44</f>
        <v>#VALUE!</v>
      </c>
      <c r="M14" s="516" t="s">
        <v>2721</v>
      </c>
      <c r="O14" s="592" t="e">
        <f>O6-O8-O12</f>
        <v>#VALUE!</v>
      </c>
    </row>
    <row r="15" spans="1:15" ht="13.5" customHeight="1">
      <c r="A15" s="516" t="s">
        <v>2717</v>
      </c>
      <c r="C15" s="599">
        <f t="shared" ref="C15:I15" si="0">$E$3/$H$3</f>
        <v>747121.96774120536</v>
      </c>
      <c r="D15" s="599">
        <f t="shared" si="0"/>
        <v>747121.96774120536</v>
      </c>
      <c r="E15" s="599">
        <f t="shared" si="0"/>
        <v>747121.96774120536</v>
      </c>
      <c r="F15" s="599">
        <f t="shared" si="0"/>
        <v>747121.96774120536</v>
      </c>
      <c r="G15" s="599">
        <f t="shared" si="0"/>
        <v>747121.96774120536</v>
      </c>
      <c r="H15" s="599">
        <f t="shared" si="0"/>
        <v>747121.96774120536</v>
      </c>
      <c r="I15" s="599">
        <f t="shared" si="0"/>
        <v>747121.96774120536</v>
      </c>
      <c r="K15" s="587" t="e">
        <f>E44</f>
        <v>#VALUE!</v>
      </c>
      <c r="O15" s="592"/>
    </row>
    <row r="16" spans="1:15" ht="13.5" customHeight="1">
      <c r="A16" s="516" t="s">
        <v>2719</v>
      </c>
      <c r="C16" s="599">
        <f>IF(C$8&lt;=$H$4,($E$4/$H$4),0)+IF(C$8&lt;=$H$5,($E$5/$H$5),0)</f>
        <v>16765.416666666664</v>
      </c>
      <c r="D16" s="599">
        <f t="shared" ref="D16:I16" si="1">IF(D$8&lt;=$H$4,($E$4/$H$4),0)+IF(D$8&lt;=$H$5,($E$5/$H$5),0)</f>
        <v>16765.416666666664</v>
      </c>
      <c r="E16" s="599">
        <f t="shared" si="1"/>
        <v>16765.416666666664</v>
      </c>
      <c r="F16" s="599">
        <f t="shared" si="1"/>
        <v>16765.416666666664</v>
      </c>
      <c r="G16" s="599">
        <f t="shared" si="1"/>
        <v>16765.416666666664</v>
      </c>
      <c r="H16" s="599">
        <f t="shared" si="1"/>
        <v>16765.416666666664</v>
      </c>
      <c r="I16" s="599">
        <f t="shared" si="1"/>
        <v>16765.416666666664</v>
      </c>
      <c r="K16" s="587" t="e">
        <f>F44</f>
        <v>#VALUE!</v>
      </c>
      <c r="M16" s="516" t="s">
        <v>2723</v>
      </c>
      <c r="O16" s="592">
        <f>E3</f>
        <v>20545854.112883147</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14942439.354824107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5603414.7580590397</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5603414.7580590397</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-5603414.7580590397</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126805.14803653979</v>
      </c>
      <c r="D29" s="594">
        <f>'Part VI-Pro Forma'!J33</f>
        <v>233598.96034434414</v>
      </c>
      <c r="E29" s="594">
        <f>'Part VI-Pro Forma'!K33</f>
        <v>240293.84201571497</v>
      </c>
      <c r="F29" s="594">
        <f>'Part VI-Pro Forma'!B65</f>
        <v>246797.33763144584</v>
      </c>
      <c r="G29" s="594">
        <f>'Part VI-Pro Forma'!C65</f>
        <v>253096.45895975106</v>
      </c>
      <c r="H29" s="594">
        <f>'Part VI-Pro Forma'!D65</f>
        <v>259177.66578889301</v>
      </c>
      <c r="I29" s="594">
        <f>'Part VI-Pro Forma'!E65</f>
        <v>265024.84612111328</v>
      </c>
      <c r="N29" s="603"/>
      <c r="O29" s="603"/>
    </row>
    <row r="30" spans="1:17" ht="13.5" customHeight="1">
      <c r="A30" s="516" t="s">
        <v>2714</v>
      </c>
      <c r="C30" s="596">
        <f>'Part VI-Pro Forma'!H40-'Part VI-Pro Forma'!I40</f>
        <v>125167.48277691379</v>
      </c>
      <c r="D30" s="596">
        <f>'Part VI-Pro Forma'!I40-'Part VI-Pro Forma'!J40</f>
        <v>131571.28874886036</v>
      </c>
      <c r="E30" s="596">
        <f>'Part VI-Pro Forma'!J40-'Part VI-Pro Forma'!K40</f>
        <v>138302.72558799759</v>
      </c>
      <c r="F30" s="976">
        <f>'Part VI-Pro Forma'!K40-'Part VI-Pro Forma'!B72</f>
        <v>145378.5555112958</v>
      </c>
      <c r="G30" s="976">
        <f>'Part VI-Pro Forma'!B72-'Part VI-Pro Forma'!C72</f>
        <v>152816.39832255989</v>
      </c>
      <c r="H30" s="976">
        <f>'Part VI-Pro Forma'!C72-'Part VI-Pro Forma'!D72</f>
        <v>160634.77528819256</v>
      </c>
      <c r="I30" s="976">
        <f>'Part VI-Pro Forma'!D72-'Part VI-Pro Forma'!E72</f>
        <v>168853.15525774285</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-1120682.951611808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-69733.848169590128</v>
      </c>
      <c r="D33" s="979">
        <f>'Part VI-Pro Forma'!J23</f>
        <v>-71825.86361467783</v>
      </c>
      <c r="E33" s="979">
        <f>'Part VI-Pro Forma'!K23</f>
        <v>-73980.639523118167</v>
      </c>
      <c r="F33" s="979">
        <f>'Part VI-Pro Forma'!B55</f>
        <v>-76200.058708811703</v>
      </c>
      <c r="G33" s="979">
        <f>'Part VI-Pro Forma'!C55</f>
        <v>-78486.06047007606</v>
      </c>
      <c r="H33" s="979">
        <f>'Part VI-Pro Forma'!D55</f>
        <v>-80840.642284178335</v>
      </c>
      <c r="I33" s="979">
        <f>'Part VI-Pro Forma'!E55</f>
        <v>-83265.861552703675</v>
      </c>
      <c r="K33" s="516" t="s">
        <v>233</v>
      </c>
      <c r="M33" s="516" t="s">
        <v>2734</v>
      </c>
      <c r="O33" s="594" t="e">
        <f>O14-O31</f>
        <v>#VALUE!</v>
      </c>
    </row>
    <row r="34" spans="1:15" ht="13.5" customHeight="1">
      <c r="A34" s="598" t="s">
        <v>3131</v>
      </c>
      <c r="B34" s="598"/>
      <c r="C34" s="979">
        <f>'Part VI-Pro Forma'!I32</f>
        <v>-99922</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747121.96774120536</v>
      </c>
      <c r="D35" s="599">
        <f t="shared" si="8"/>
        <v>747121.96774120536</v>
      </c>
      <c r="E35" s="599">
        <f t="shared" si="8"/>
        <v>747121.96774120536</v>
      </c>
      <c r="F35" s="599">
        <f t="shared" si="8"/>
        <v>747121.96774120536</v>
      </c>
      <c r="G35" s="599">
        <f t="shared" si="8"/>
        <v>747121.96774120536</v>
      </c>
      <c r="H35" s="599">
        <f t="shared" si="8"/>
        <v>747121.96774120536</v>
      </c>
      <c r="I35" s="599">
        <f t="shared" si="8"/>
        <v>747121.96774120536</v>
      </c>
    </row>
    <row r="36" spans="1:15" ht="13.5" customHeight="1">
      <c r="A36" s="516" t="s">
        <v>2719</v>
      </c>
      <c r="C36" s="594">
        <f>IF(C$28&lt;=$H$4,($E$4/$H$4),0)+IF(C$28&lt;=$H$5,($E$5/$H$5),0)</f>
        <v>16765.416666666664</v>
      </c>
      <c r="D36" s="594">
        <f t="shared" ref="D36:I36" si="9">IF(D$28&lt;=$H$4,($E$4/$H$4),0)+IF(D$28&lt;=$H$5,($E$5/$H$5),0)</f>
        <v>16765.416666666664</v>
      </c>
      <c r="E36" s="594">
        <f t="shared" si="9"/>
        <v>16765.416666666664</v>
      </c>
      <c r="F36" s="594">
        <f t="shared" si="9"/>
        <v>16765.416666666664</v>
      </c>
      <c r="G36" s="594">
        <f t="shared" si="9"/>
        <v>16765.416666666664</v>
      </c>
      <c r="H36" s="594">
        <f t="shared" si="9"/>
        <v>16765.416666666664</v>
      </c>
      <c r="I36" s="594">
        <f t="shared" si="9"/>
        <v>16765.416666666664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270624.29570746981</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177492.00314404815</v>
      </c>
      <c r="D50" s="977">
        <f>'Part VI-Pro Forma'!F72-'Part VI-Pro Forma'!G72</f>
        <v>186572.83088372834</v>
      </c>
      <c r="E50" s="977">
        <f>'Part VI-Pro Forma'!G72-'Part VI-Pro Forma'!H72</f>
        <v>196118.25100490637</v>
      </c>
      <c r="F50" s="977">
        <f>'Part VI-Pro Forma'!H72-'Part VI-Pro Forma'!I72</f>
        <v>206152.03293556347</v>
      </c>
      <c r="G50" s="977">
        <f>'Part VI-Pro Forma'!I72-'Part VI-Pro Forma'!J72</f>
        <v>216699.16219272558</v>
      </c>
      <c r="H50" s="977">
        <f>'Part VI-Pro Forma'!J72-'Part VI-Pro Forma'!K72</f>
        <v>227785.90259988792</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-85763.837399284792</v>
      </c>
      <c r="D53" s="979">
        <f>'Part VI-Pro Forma'!G55</f>
        <v>-88336.752521263348</v>
      </c>
      <c r="E53" s="979">
        <f>'Part VI-Pro Forma'!H55</f>
        <v>-90986.855096901229</v>
      </c>
      <c r="F53" s="979">
        <f>'Part VI-Pro Forma'!I55</f>
        <v>-93716.460749808262</v>
      </c>
      <c r="G53" s="979">
        <f>'Part VI-Pro Forma'!J55</f>
        <v>-96527.954572302508</v>
      </c>
      <c r="H53" s="979">
        <f>'Part VI-Pro Forma'!K55</f>
        <v>-99423.79320947158</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747121.96774120536</v>
      </c>
      <c r="D55" s="599">
        <f t="shared" si="14"/>
        <v>747121.96774120536</v>
      </c>
      <c r="E55" s="599">
        <f t="shared" si="14"/>
        <v>747121.96774120536</v>
      </c>
      <c r="F55" s="599">
        <f t="shared" si="14"/>
        <v>747121.96774120536</v>
      </c>
      <c r="G55" s="599">
        <f t="shared" si="14"/>
        <v>747121.96774120536</v>
      </c>
      <c r="H55" s="599">
        <f t="shared" si="14"/>
        <v>747121.96774120536</v>
      </c>
    </row>
    <row r="56" spans="1:10" ht="13.5" customHeight="1">
      <c r="A56" s="516" t="s">
        <v>2719</v>
      </c>
      <c r="C56" s="594">
        <f t="shared" ref="C56:H56" si="15">IF(C$48&lt;=$H$4,($E$4/$H$4),0)+IF(C$48&lt;=$H$5,($E$5/$H$5),0)</f>
        <v>16765.416666666664</v>
      </c>
      <c r="D56" s="594">
        <f t="shared" si="15"/>
        <v>1218.75</v>
      </c>
      <c r="E56" s="594">
        <f t="shared" si="15"/>
        <v>1218.75</v>
      </c>
      <c r="F56" s="594">
        <f t="shared" si="15"/>
        <v>1218.75</v>
      </c>
      <c r="G56" s="594">
        <f t="shared" si="15"/>
        <v>1218.75</v>
      </c>
      <c r="H56" s="594">
        <f t="shared" si="15"/>
        <v>1218.75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Richmond Summit</v>
      </c>
      <c r="B1" s="4769"/>
      <c r="C1" s="4769"/>
      <c r="D1" s="4769"/>
      <c r="E1" s="4769"/>
      <c r="F1" s="4769"/>
      <c r="G1" s="4769"/>
      <c r="H1" s="4769"/>
      <c r="I1" s="4769"/>
      <c r="J1" s="4769"/>
      <c r="K1" s="4769"/>
    </row>
    <row r="2" spans="1:11" s="439" customFormat="1" ht="17.649999999999999"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6062</v>
      </c>
      <c r="B4" s="4770"/>
      <c r="C4" s="1476"/>
      <c r="D4" s="4770" t="s">
        <v>6063</v>
      </c>
      <c r="E4" s="4770"/>
      <c r="F4" s="523"/>
      <c r="G4" s="4770" t="s">
        <v>6064</v>
      </c>
      <c r="H4" s="4770"/>
      <c r="I4" s="523"/>
      <c r="J4" s="4770" t="s">
        <v>6179</v>
      </c>
      <c r="K4" s="4770"/>
    </row>
    <row r="5" spans="1:11" ht="25.9" customHeight="1">
      <c r="A5" s="4771" t="str">
        <f>'Part II-Sources of Funds'!E40</f>
        <v>Berkadia Commercial Mortgage, LLC</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52896.96708357802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52896.96708357802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52896.96708357802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52896.96708357802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52896.96708357802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52896.96708357802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52896.96708357802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52896.96708357802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52896.96708357802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52896.96708357802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52896.96708357802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52896.96708357802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52896.96708357802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52896.96708357802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52896.96708357802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52896.96708357802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52896.96708357802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52896.96708357802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52896.96708357802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52896.96708357802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52896.96708357802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52896.96708357802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52896.96708357802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52896.96708357802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52896.96708357802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52896.96708357802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52896.96708357802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52896.96708357802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52896.96708357802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52896.96708357802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52896.96708357802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52896.96708357802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52896.96708357802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52896.96708357802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52896.96708357802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Richmond Summit</v>
      </c>
      <c r="B1" s="4775"/>
      <c r="C1" s="4775"/>
      <c r="D1" s="4775"/>
      <c r="E1" s="4775"/>
      <c r="F1" s="4775"/>
      <c r="G1" s="4775"/>
      <c r="H1" s="4775"/>
    </row>
    <row r="3" spans="1:11" ht="12" customHeight="1">
      <c r="A3" s="4776" t="s">
        <v>3105</v>
      </c>
      <c r="B3" s="4776"/>
      <c r="C3" s="4776"/>
      <c r="D3" s="4776"/>
      <c r="E3" s="4776"/>
      <c r="F3" s="4776"/>
      <c r="G3" s="4776"/>
      <c r="H3" s="4776"/>
      <c r="I3" s="1027"/>
      <c r="J3" s="4778" t="s">
        <v>3460</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4"/>
      <c r="F7" s="4774"/>
      <c r="G7" s="4774"/>
      <c r="H7" s="4774"/>
      <c r="J7" s="4778"/>
      <c r="K7" s="4778"/>
    </row>
    <row r="8" spans="1:11" ht="12" customHeight="1">
      <c r="E8" s="4774"/>
      <c r="F8" s="4774"/>
      <c r="G8" s="4774"/>
      <c r="H8" s="4774"/>
      <c r="J8" s="4778"/>
      <c r="K8" s="4778"/>
    </row>
    <row r="9" spans="1:11" ht="12" customHeight="1">
      <c r="C9" s="432" t="s">
        <v>2741</v>
      </c>
      <c r="E9" s="4777"/>
      <c r="F9" s="4777"/>
      <c r="J9" s="4778"/>
      <c r="K9" s="4778"/>
    </row>
    <row r="10" spans="1:11" ht="12" customHeight="1">
      <c r="C10" s="432" t="s">
        <v>2742</v>
      </c>
      <c r="E10" s="4774"/>
      <c r="F10" s="4774"/>
      <c r="G10" s="4774"/>
      <c r="H10" s="4774"/>
    </row>
    <row r="11" spans="1:11" ht="12" customHeight="1">
      <c r="C11" s="432" t="s">
        <v>3465</v>
      </c>
      <c r="E11" s="4774"/>
      <c r="F11" s="4774"/>
      <c r="G11" s="4774"/>
      <c r="H11" s="4774"/>
    </row>
    <row r="12" spans="1:11" ht="12" customHeight="1">
      <c r="C12" s="432" t="s">
        <v>3461</v>
      </c>
      <c r="E12" s="1991"/>
    </row>
    <row r="13" spans="1:11" ht="12" customHeight="1">
      <c r="C13" s="432" t="s">
        <v>3464</v>
      </c>
      <c r="E13" s="1991"/>
    </row>
    <row r="14" spans="1:11" ht="3" customHeight="1"/>
    <row r="15" spans="1:11" ht="12" customHeight="1">
      <c r="A15" s="432">
        <v>3</v>
      </c>
      <c r="C15" s="432" t="s">
        <v>2743</v>
      </c>
      <c r="E15" s="620" t="str">
        <f>'Sensitivity Analysis'!C8</f>
        <v>Richmond Summit</v>
      </c>
    </row>
    <row r="16" spans="1:11" ht="12" customHeight="1">
      <c r="C16" s="432" t="s">
        <v>2744</v>
      </c>
      <c r="E16" s="4774"/>
      <c r="F16" s="4774"/>
      <c r="G16" s="4774"/>
      <c r="H16" s="4774"/>
    </row>
    <row r="17" spans="1:8" ht="12" customHeight="1">
      <c r="E17" s="438" t="str">
        <f>'Part I-Project Identification'!$F$26</f>
        <v>Augusta</v>
      </c>
      <c r="F17" s="609" t="s">
        <v>791</v>
      </c>
      <c r="G17" s="4773" t="s">
        <v>6752</v>
      </c>
      <c r="H17" s="4773"/>
    </row>
    <row r="18" spans="1:8" ht="12" customHeight="1">
      <c r="E18" s="620" t="str">
        <f>(CONCATENATE('Part I-Project Identification'!$J$26," County"))</f>
        <v>Richmond County</v>
      </c>
    </row>
    <row r="19" spans="1:8" ht="3" customHeight="1"/>
    <row r="20" spans="1:8" ht="12" customHeight="1">
      <c r="A20" s="432">
        <v>4</v>
      </c>
      <c r="C20" s="432" t="s">
        <v>2745</v>
      </c>
      <c r="E20" s="4774"/>
      <c r="F20" s="4774"/>
      <c r="G20" s="4774"/>
      <c r="H20" s="4774"/>
    </row>
    <row r="21" spans="1:8" ht="12" customHeight="1">
      <c r="C21" s="432" t="s">
        <v>2746</v>
      </c>
      <c r="E21" s="4774"/>
      <c r="F21" s="4774"/>
      <c r="G21" s="4774"/>
      <c r="H21" s="4774"/>
    </row>
    <row r="22" spans="1:8" ht="12" customHeight="1">
      <c r="E22" s="4774"/>
      <c r="F22" s="4774"/>
      <c r="G22" s="4774"/>
      <c r="H22" s="4774"/>
    </row>
    <row r="23" spans="1:8" ht="12" customHeight="1">
      <c r="C23" s="432" t="s">
        <v>3461</v>
      </c>
      <c r="E23" s="1991"/>
    </row>
    <row r="24" spans="1:8" ht="12" customHeight="1">
      <c r="C24" s="432" t="s">
        <v>3464</v>
      </c>
      <c r="E24" s="1991"/>
    </row>
    <row r="25" spans="1:8" ht="12" customHeight="1">
      <c r="C25" s="432" t="s">
        <v>3465</v>
      </c>
      <c r="E25" s="4774"/>
      <c r="F25" s="4774"/>
      <c r="G25" s="4774"/>
      <c r="H25" s="4774"/>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24350000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204</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4"/>
      <c r="F48" s="4774"/>
      <c r="G48" s="4774"/>
      <c r="H48" s="4774"/>
    </row>
    <row r="49" spans="1:8" ht="3" customHeight="1">
      <c r="E49" s="620"/>
    </row>
    <row r="50" spans="1:8" ht="12" customHeight="1">
      <c r="A50" s="432">
        <v>15</v>
      </c>
      <c r="C50" s="432" t="s">
        <v>3467</v>
      </c>
      <c r="E50" s="4774"/>
      <c r="F50" s="4774"/>
      <c r="G50" s="4774"/>
      <c r="H50" s="4774"/>
    </row>
    <row r="51" spans="1:8" ht="12" customHeight="1">
      <c r="C51" s="432" t="s">
        <v>2763</v>
      </c>
      <c r="E51" s="4774"/>
      <c r="F51" s="4774"/>
      <c r="G51" s="4774"/>
      <c r="H51" s="4774"/>
    </row>
    <row r="52" spans="1:8" ht="3" customHeight="1">
      <c r="F52" s="614"/>
    </row>
    <row r="53" spans="1:8" ht="12" customHeight="1">
      <c r="A53" s="432">
        <v>16</v>
      </c>
      <c r="C53" s="432" t="s">
        <v>2764</v>
      </c>
      <c r="F53" s="1032">
        <f>'Sensitivity Analysis'!C13</f>
        <v>135</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3466</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8015229.4980212962</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6163</v>
      </c>
    </row>
    <row r="65" spans="1:7" ht="12" customHeight="1">
      <c r="E65" s="1036" t="s">
        <v>3107</v>
      </c>
      <c r="F65" s="1037" t="s">
        <v>3108</v>
      </c>
      <c r="G65" s="1036" t="s">
        <v>6164</v>
      </c>
    </row>
    <row r="66" spans="1:7" ht="12" customHeight="1">
      <c r="E66" s="1036" t="s">
        <v>3107</v>
      </c>
      <c r="F66" s="1037" t="s">
        <v>3108</v>
      </c>
      <c r="G66" s="1036" t="s">
        <v>6165</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745520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9" t="s">
        <v>2960</v>
      </c>
      <c r="B1" s="4789"/>
      <c r="C1" s="4789"/>
      <c r="D1" s="4789"/>
      <c r="E1" s="4789"/>
      <c r="F1" s="4789"/>
      <c r="G1" s="4789"/>
      <c r="H1" s="4789"/>
      <c r="I1" s="4789"/>
      <c r="J1" s="4789"/>
    </row>
    <row r="2" spans="1:13" ht="15">
      <c r="A2" s="4789" t="str">
        <f>'Sensitivity Analysis'!E8&amp;"  "&amp;'Sensitivity Analysis'!C8</f>
        <v>2023-0  Richmond Summit</v>
      </c>
      <c r="B2" s="4789"/>
      <c r="C2" s="4789"/>
      <c r="D2" s="4789"/>
      <c r="E2" s="4789"/>
      <c r="F2" s="4789"/>
      <c r="G2" s="4789"/>
      <c r="H2" s="4789"/>
      <c r="I2" s="4789"/>
      <c r="J2" s="4789"/>
    </row>
    <row r="3" spans="1:13" ht="6" customHeight="1">
      <c r="K3" s="4778" t="s">
        <v>3460</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79"/>
      <c r="E13" s="4779"/>
      <c r="F13" s="4779"/>
      <c r="G13" s="4779"/>
      <c r="H13" s="4779"/>
      <c r="I13" s="4779"/>
      <c r="J13" s="4779"/>
    </row>
    <row r="14" spans="1:13" ht="3" customHeight="1">
      <c r="G14" s="560"/>
      <c r="H14" s="560"/>
      <c r="I14" s="560"/>
    </row>
    <row r="15" spans="1:13" ht="12" customHeight="1">
      <c r="A15" s="432" t="s">
        <v>2784</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Richmond Summit</v>
      </c>
      <c r="I28" s="560"/>
    </row>
    <row r="29" spans="1:9" ht="3" customHeight="1">
      <c r="C29" s="613"/>
      <c r="I29" s="560"/>
    </row>
    <row r="30" spans="1:9" ht="12" customHeight="1">
      <c r="A30" s="432" t="s">
        <v>2791</v>
      </c>
      <c r="C30" s="613">
        <f>'Preview term'!E16</f>
        <v>0</v>
      </c>
      <c r="I30" s="560"/>
    </row>
    <row r="31" spans="1:9">
      <c r="C31" s="560" t="str">
        <f>'Preview term'!E17</f>
        <v>Augusta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6166</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6167</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2798</v>
      </c>
      <c r="C42" s="4790" t="s">
        <v>3109</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2799</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2803</v>
      </c>
      <c r="B53" s="617"/>
      <c r="C53" s="619" t="s">
        <v>2804</v>
      </c>
      <c r="D53" s="619" t="s">
        <v>3110</v>
      </c>
      <c r="E53" s="4782"/>
      <c r="F53" s="4782"/>
      <c r="G53" s="4782"/>
      <c r="H53" s="4782"/>
      <c r="I53" s="4782"/>
      <c r="J53" s="4782"/>
    </row>
    <row r="54" spans="1:10" ht="12" customHeight="1">
      <c r="A54" s="617"/>
      <c r="B54" s="617"/>
      <c r="C54" s="617"/>
      <c r="D54" s="619" t="s">
        <v>3111</v>
      </c>
      <c r="E54" s="4783"/>
      <c r="F54" s="4783"/>
      <c r="G54" s="4783"/>
      <c r="H54" s="4783"/>
      <c r="I54" s="4783"/>
      <c r="J54" s="4783"/>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24350000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79"/>
      <c r="E69" s="4779"/>
      <c r="F69" s="4779"/>
      <c r="G69" s="4779"/>
      <c r="H69" s="4779"/>
      <c r="I69" s="4779"/>
      <c r="J69" s="4779"/>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204</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6168</v>
      </c>
      <c r="G84" s="560"/>
    </row>
    <row r="85" spans="1:9" ht="3" customHeight="1">
      <c r="G85" s="560"/>
      <c r="H85" s="560"/>
      <c r="I85" s="560"/>
    </row>
    <row r="86" spans="1:9" ht="12" customHeight="1">
      <c r="A86" s="432" t="s">
        <v>2825</v>
      </c>
      <c r="C86" s="1557">
        <f>'Subsidy Layering Memo'!L70</f>
        <v>8015229.4980212962</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Berkadia Commercial Mortgage, LLC</v>
      </c>
      <c r="I93" s="560"/>
    </row>
    <row r="94" spans="1:9" ht="12" customHeight="1">
      <c r="C94" s="620"/>
      <c r="D94" s="560"/>
      <c r="E94" s="620" t="s">
        <v>1670</v>
      </c>
      <c r="F94" s="4774"/>
      <c r="G94" s="4774"/>
      <c r="H94" s="4774"/>
      <c r="I94" s="560"/>
    </row>
    <row r="95" spans="1:9" ht="12" customHeight="1">
      <c r="C95" s="620"/>
      <c r="D95" s="560"/>
      <c r="E95" s="620" t="s">
        <v>1840</v>
      </c>
      <c r="F95" s="4784"/>
      <c r="G95" s="4784"/>
      <c r="H95" s="4784"/>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Berkadia Commercial Mortgage, LLC</v>
      </c>
      <c r="I97" s="560"/>
    </row>
    <row r="98" spans="1:10" ht="12" customHeight="1">
      <c r="C98" s="620"/>
      <c r="D98" s="560"/>
      <c r="E98" s="620" t="s">
        <v>1670</v>
      </c>
      <c r="F98" s="4774"/>
      <c r="G98" s="4774"/>
      <c r="H98" s="4774"/>
      <c r="I98" s="560"/>
    </row>
    <row r="99" spans="1:10" ht="12" customHeight="1">
      <c r="C99" s="620"/>
      <c r="D99" s="560"/>
      <c r="E99" s="620" t="s">
        <v>1840</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5"/>
      <c r="E107" s="4785"/>
      <c r="F107" s="4785"/>
      <c r="G107" s="4785"/>
      <c r="H107" s="4785"/>
      <c r="I107" s="4785"/>
      <c r="J107" s="4786"/>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8" t="s">
        <v>6171</v>
      </c>
      <c r="F120" s="4788"/>
      <c r="G120" s="4788"/>
      <c r="H120" s="4788"/>
      <c r="I120" s="4788"/>
      <c r="J120" s="4788"/>
    </row>
    <row r="121" spans="1:10" ht="12" customHeight="1">
      <c r="C121" s="560" t="s">
        <v>2842</v>
      </c>
      <c r="D121" s="996"/>
      <c r="E121" s="4788"/>
      <c r="F121" s="4788"/>
      <c r="G121" s="4788"/>
      <c r="H121" s="4788"/>
      <c r="I121" s="4788"/>
      <c r="J121" s="4788"/>
    </row>
    <row r="122" spans="1:10" ht="12" customHeight="1">
      <c r="C122" s="560" t="s">
        <v>2843</v>
      </c>
      <c r="D122" s="996"/>
      <c r="E122" s="4788"/>
      <c r="F122" s="4788"/>
      <c r="G122" s="4788"/>
      <c r="H122" s="4788"/>
      <c r="I122" s="4788"/>
      <c r="J122" s="4788"/>
    </row>
    <row r="123" spans="1:10" ht="12" customHeight="1">
      <c r="C123" s="560" t="s">
        <v>2843</v>
      </c>
      <c r="D123" s="996"/>
      <c r="E123" s="4788"/>
      <c r="F123" s="4788"/>
      <c r="G123" s="4788"/>
      <c r="H123" s="4788"/>
      <c r="I123" s="4788"/>
      <c r="J123" s="4788"/>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705073.93250039592</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79"/>
      <c r="F166" s="4779"/>
      <c r="G166" s="4779"/>
      <c r="I166" s="560"/>
    </row>
    <row r="167" spans="1:9" ht="3" customHeight="1">
      <c r="E167" s="560"/>
      <c r="G167" s="560"/>
      <c r="I167" s="560"/>
    </row>
    <row r="168" spans="1:9" ht="12" customHeight="1">
      <c r="A168" s="432" t="s">
        <v>2866</v>
      </c>
      <c r="C168" s="432" t="s">
        <v>2867</v>
      </c>
      <c r="E168" s="632">
        <f>'Preview term'!F74</f>
        <v>745520</v>
      </c>
      <c r="G168" s="560"/>
      <c r="I168" s="560"/>
    </row>
    <row r="169" spans="1:9" ht="12" customHeight="1">
      <c r="C169" s="432" t="s">
        <v>3116</v>
      </c>
      <c r="E169" s="4779"/>
      <c r="F169" s="4779"/>
      <c r="G169" s="4779"/>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56700</v>
      </c>
      <c r="F174" s="560" t="s">
        <v>2871</v>
      </c>
    </row>
    <row r="175" spans="1:9">
      <c r="E175" s="632">
        <f>E174/12</f>
        <v>4725</v>
      </c>
      <c r="F175" s="560" t="s">
        <v>2736</v>
      </c>
    </row>
    <row r="176" spans="1:9" ht="12" customHeight="1">
      <c r="C176" s="432" t="s">
        <v>3117</v>
      </c>
      <c r="E176" s="4779"/>
      <c r="F176" s="4779"/>
      <c r="G176" s="4779"/>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79"/>
      <c r="G181" s="4779"/>
      <c r="H181" s="4779"/>
      <c r="I181" s="4779"/>
      <c r="J181" s="4779"/>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7">
        <f>'Part VII-Threshold Criteria OLD'!E372</f>
        <v>0</v>
      </c>
      <c r="G199" s="4787"/>
      <c r="H199" s="4787"/>
      <c r="I199" s="4787"/>
      <c r="J199" s="4787"/>
    </row>
    <row r="200" spans="1:10" ht="9" customHeight="1">
      <c r="G200" s="560"/>
      <c r="H200" s="560"/>
      <c r="I200" s="560"/>
    </row>
    <row r="201" spans="1:10" ht="12" customHeight="1">
      <c r="A201" s="634" t="s">
        <v>2961</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5">
      <c r="A204" s="522" t="s">
        <v>6155</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6158</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27" t="str">
        <f>'Part I-Project Identification'!F25</f>
        <v>Richmond Summit</v>
      </c>
      <c r="E3" s="4128"/>
      <c r="F3" s="4128"/>
      <c r="G3" s="4128"/>
      <c r="H3" s="4128"/>
      <c r="I3" s="4128"/>
      <c r="J3" s="4795" t="s">
        <v>3972</v>
      </c>
      <c r="K3" s="4796"/>
    </row>
    <row r="4" spans="1:11" ht="15" customHeight="1">
      <c r="A4" s="1332" t="s">
        <v>3970</v>
      </c>
      <c r="B4" s="1333"/>
      <c r="C4" s="1334"/>
      <c r="D4" s="4791">
        <f>'Preview term'!$E$16</f>
        <v>0</v>
      </c>
      <c r="E4" s="4792"/>
      <c r="F4" s="4792"/>
      <c r="G4" s="4792"/>
      <c r="H4" s="4792"/>
      <c r="I4" s="4792"/>
      <c r="J4" s="4133" t="s">
        <v>4011</v>
      </c>
      <c r="K4" s="4134"/>
    </row>
    <row r="5" spans="1:11" ht="15" customHeight="1" thickBot="1">
      <c r="A5" s="1335" t="s">
        <v>3971</v>
      </c>
      <c r="B5" s="1336"/>
      <c r="C5" s="1337"/>
      <c r="D5" s="4793"/>
      <c r="E5" s="4794"/>
      <c r="F5" s="4794"/>
      <c r="G5" s="4794"/>
      <c r="H5" s="4794"/>
      <c r="I5" s="4794"/>
      <c r="J5" s="4135"/>
      <c r="K5" s="4136"/>
    </row>
    <row r="6" spans="1:11" ht="9" customHeight="1" thickBot="1">
      <c r="E6" s="1327"/>
    </row>
    <row r="7" spans="1:11">
      <c r="A7" s="4119" t="s">
        <v>3973</v>
      </c>
      <c r="B7" s="4120"/>
      <c r="C7" s="4120"/>
      <c r="D7" s="4120"/>
      <c r="E7" s="4120"/>
      <c r="F7" s="4120"/>
      <c r="G7" s="4120"/>
      <c r="H7" s="4120"/>
      <c r="I7" s="4120"/>
      <c r="J7" s="4120"/>
      <c r="K7" s="4121"/>
    </row>
    <row r="8" spans="1:11" ht="14.25" customHeight="1">
      <c r="A8" s="1333"/>
      <c r="B8" s="1333"/>
      <c r="C8" s="1365">
        <v>1</v>
      </c>
      <c r="D8" s="1352" t="s">
        <v>3974</v>
      </c>
      <c r="E8" s="1352"/>
      <c r="F8" s="1352"/>
      <c r="G8" s="1352"/>
      <c r="H8" s="1352"/>
      <c r="I8" s="1352"/>
      <c r="J8" s="4818"/>
      <c r="K8" s="4819"/>
    </row>
    <row r="9" spans="1:11" ht="7.15" customHeight="1">
      <c r="A9" s="4122"/>
      <c r="B9" s="4122"/>
      <c r="C9" s="4122"/>
      <c r="D9" s="4123"/>
      <c r="E9" s="4123"/>
      <c r="F9" s="4123"/>
      <c r="G9" s="4123"/>
      <c r="H9" s="4123"/>
      <c r="I9" s="4123"/>
      <c r="J9" s="4123"/>
      <c r="K9" s="1353"/>
    </row>
    <row r="10" spans="1:11">
      <c r="A10" s="4124" t="s">
        <v>3975</v>
      </c>
      <c r="B10" s="4125"/>
      <c r="C10" s="4125"/>
      <c r="D10" s="4125"/>
      <c r="E10" s="4125"/>
      <c r="F10" s="4125"/>
      <c r="G10" s="4125"/>
      <c r="H10" s="4125"/>
      <c r="I10" s="4125"/>
      <c r="J10" s="4125"/>
      <c r="K10" s="4126"/>
    </row>
    <row r="11" spans="1:11" ht="14.25" customHeight="1">
      <c r="A11" s="1333"/>
      <c r="B11" s="1333"/>
      <c r="C11" s="1365">
        <v>2</v>
      </c>
      <c r="D11" s="1352" t="s">
        <v>3976</v>
      </c>
      <c r="E11" s="1354"/>
      <c r="F11" s="1354"/>
      <c r="G11" s="1354"/>
      <c r="H11" s="1354"/>
      <c r="I11" s="1354"/>
      <c r="J11" s="4816"/>
      <c r="K11" s="4817"/>
    </row>
    <row r="12" spans="1:11" ht="7.15" customHeight="1">
      <c r="A12" s="4122"/>
      <c r="B12" s="4122"/>
      <c r="C12" s="4122"/>
      <c r="D12" s="4123"/>
      <c r="E12" s="4123"/>
      <c r="F12" s="4123"/>
      <c r="G12" s="4123"/>
      <c r="H12" s="4123"/>
      <c r="I12" s="4123"/>
      <c r="J12" s="4123"/>
      <c r="K12" s="1355"/>
    </row>
    <row r="13" spans="1:11">
      <c r="A13" s="4124" t="s">
        <v>3977</v>
      </c>
      <c r="B13" s="4125"/>
      <c r="C13" s="4125"/>
      <c r="D13" s="4125"/>
      <c r="E13" s="4125"/>
      <c r="F13" s="4125"/>
      <c r="G13" s="4125"/>
      <c r="H13" s="4125"/>
      <c r="I13" s="4125"/>
      <c r="J13" s="4125"/>
      <c r="K13" s="4126"/>
    </row>
    <row r="14" spans="1:11" ht="14.25" customHeight="1">
      <c r="A14" s="1333"/>
      <c r="B14" s="1333"/>
      <c r="C14" s="1366">
        <v>3</v>
      </c>
      <c r="D14" s="1356" t="s">
        <v>3978</v>
      </c>
      <c r="E14" s="1356"/>
      <c r="F14" s="1356"/>
      <c r="G14" s="1356"/>
      <c r="H14" s="1356"/>
      <c r="I14" s="1356"/>
      <c r="J14" s="4814"/>
      <c r="K14" s="4815"/>
    </row>
    <row r="15" spans="1:11" ht="14.25" customHeight="1">
      <c r="A15" s="1333"/>
      <c r="B15" s="1333"/>
      <c r="C15" s="1367">
        <v>4</v>
      </c>
      <c r="D15" s="1333" t="s">
        <v>3979</v>
      </c>
      <c r="E15" s="1333"/>
      <c r="F15" s="1333"/>
      <c r="G15" s="1333"/>
      <c r="H15" s="1333"/>
      <c r="I15" s="1333"/>
      <c r="J15" s="4812"/>
      <c r="K15" s="4813"/>
    </row>
    <row r="16" spans="1:11" ht="14.25" customHeight="1">
      <c r="A16" s="1333"/>
      <c r="B16" s="1333"/>
      <c r="C16" s="1367">
        <v>5</v>
      </c>
      <c r="D16" s="1333" t="s">
        <v>3980</v>
      </c>
      <c r="E16" s="1333"/>
      <c r="F16" s="1333"/>
      <c r="G16" s="1333"/>
      <c r="H16" s="1333"/>
      <c r="I16" s="1333"/>
      <c r="J16" s="4812"/>
      <c r="K16" s="4813"/>
    </row>
    <row r="17" spans="1:13" ht="14.25" customHeight="1">
      <c r="A17" s="1333"/>
      <c r="B17" s="1333"/>
      <c r="C17" s="1368">
        <v>6</v>
      </c>
      <c r="D17" s="1336" t="s">
        <v>3981</v>
      </c>
      <c r="E17" s="1336"/>
      <c r="F17" s="1336"/>
      <c r="G17" s="1336"/>
      <c r="H17" s="1336"/>
      <c r="I17" s="1336"/>
      <c r="J17" s="4820"/>
      <c r="K17" s="482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3982</v>
      </c>
      <c r="E19" s="1356"/>
      <c r="F19" s="1356"/>
      <c r="G19" s="1356"/>
      <c r="H19" s="1356"/>
      <c r="I19" s="1356"/>
      <c r="J19" s="4186" t="str">
        <f>IF(J17="No",J14-J15,IF(J17="Yes",J14-J15-J16,"Error"))</f>
        <v>Error</v>
      </c>
      <c r="K19" s="4187"/>
    </row>
    <row r="20" spans="1:13" ht="14.25" customHeight="1">
      <c r="A20" s="1333"/>
      <c r="B20" s="1333"/>
      <c r="C20" s="1368">
        <v>8</v>
      </c>
      <c r="D20" s="1336" t="s">
        <v>3983</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3984</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4015</v>
      </c>
      <c r="B30" s="4145"/>
      <c r="C30" s="4145"/>
      <c r="D30" s="4145"/>
      <c r="E30" s="4145"/>
      <c r="F30" s="4145"/>
      <c r="G30" s="4145"/>
      <c r="H30" s="4145"/>
      <c r="I30" s="4145"/>
      <c r="J30" s="4145"/>
      <c r="K30" s="4146"/>
    </row>
    <row r="31" spans="1:13">
      <c r="B31" s="4807" t="s">
        <v>3972</v>
      </c>
      <c r="C31" s="4807"/>
      <c r="D31" s="4807"/>
      <c r="E31" s="4807"/>
      <c r="F31" s="4807"/>
      <c r="G31" s="4148" t="s">
        <v>3986</v>
      </c>
      <c r="H31" s="4149"/>
      <c r="I31" s="4149"/>
      <c r="J31" s="4149"/>
      <c r="K31" s="4150"/>
    </row>
    <row r="32" spans="1:13" ht="56.25" customHeight="1">
      <c r="A32" s="1351"/>
      <c r="B32" s="1369" t="s">
        <v>4014</v>
      </c>
      <c r="C32" s="1370" t="s">
        <v>4010</v>
      </c>
      <c r="D32" s="1370" t="s">
        <v>4009</v>
      </c>
      <c r="E32" s="4151" t="s">
        <v>6100</v>
      </c>
      <c r="F32" s="4152"/>
      <c r="G32" s="1371" t="s">
        <v>3987</v>
      </c>
      <c r="H32" s="1371" t="s">
        <v>3988</v>
      </c>
      <c r="J32" s="1371" t="s">
        <v>3989</v>
      </c>
      <c r="K32" s="1371" t="s">
        <v>3990</v>
      </c>
      <c r="L32" s="4139" t="s">
        <v>3991</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3992</v>
      </c>
      <c r="H52" s="1372" t="e">
        <f>SUM(H33:H51)</f>
        <v>#VALUE!</v>
      </c>
      <c r="I52" s="1356"/>
      <c r="J52" s="1362" t="s">
        <v>3993</v>
      </c>
      <c r="K52" s="1358" t="e">
        <f>SUM(K33:K51)</f>
        <v>#VALUE!</v>
      </c>
      <c r="L52" s="4139"/>
      <c r="M52" s="4139"/>
    </row>
    <row r="53" spans="1:13" ht="15" customHeight="1">
      <c r="B53" s="1363"/>
      <c r="C53" s="4158" t="s">
        <v>3994</v>
      </c>
      <c r="D53" s="4158"/>
      <c r="E53" s="4158"/>
      <c r="F53" s="4158"/>
      <c r="G53" s="4158"/>
      <c r="H53" s="4158"/>
      <c r="I53" s="4158"/>
      <c r="J53" s="4159"/>
      <c r="K53" s="1364" t="str">
        <f>IF(J17="no",0,IF(J17="yes",J16,"Error"))</f>
        <v>Error</v>
      </c>
      <c r="L53" s="4139"/>
      <c r="M53" s="4139"/>
    </row>
    <row r="54" spans="1:13" ht="15" customHeight="1" thickBot="1">
      <c r="B54" s="1363"/>
      <c r="C54" s="4160" t="s">
        <v>3995</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3996</v>
      </c>
      <c r="B56" s="4154"/>
      <c r="C56" s="4154"/>
      <c r="D56" s="4154"/>
      <c r="E56" s="4154"/>
      <c r="F56" s="4154"/>
      <c r="G56" s="4154"/>
      <c r="H56" s="4154"/>
      <c r="I56" s="4154"/>
      <c r="J56" s="4154"/>
      <c r="K56" s="4155"/>
    </row>
    <row r="57" spans="1:13" ht="48" customHeight="1">
      <c r="A57" s="1348"/>
      <c r="B57" s="1339"/>
      <c r="C57" s="1350" t="s">
        <v>3997</v>
      </c>
      <c r="D57" s="1483" t="s">
        <v>6065</v>
      </c>
      <c r="E57" s="4164" t="s">
        <v>4013</v>
      </c>
      <c r="F57" s="4165"/>
      <c r="G57" s="4803" t="s">
        <v>3998</v>
      </c>
      <c r="H57" s="4804"/>
      <c r="I57" s="4164" t="s">
        <v>4012</v>
      </c>
      <c r="J57" s="4165"/>
      <c r="K57" s="4168"/>
    </row>
    <row r="58" spans="1:13" ht="15" customHeight="1">
      <c r="A58" s="1465"/>
      <c r="B58" s="1381"/>
      <c r="C58" s="1359">
        <f>SUMIF(C33:C51, "0", H33:H51)</f>
        <v>0</v>
      </c>
      <c r="D58" s="1484">
        <f t="shared" ref="D58:D63" si="4">ROUNDUP(C58*1.1,0)</f>
        <v>0</v>
      </c>
      <c r="E58" s="4170" t="s">
        <v>3999</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2462</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2463</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2466</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4000</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4001</v>
      </c>
      <c r="F63" s="4180"/>
      <c r="G63" s="4808">
        <f>'DCA Underwriting Assumptions'!H133</f>
        <v>316236</v>
      </c>
      <c r="H63" s="4809"/>
      <c r="I63" s="4181">
        <f t="shared" si="5"/>
        <v>0</v>
      </c>
      <c r="J63" s="4181"/>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63"/>
      <c r="B65" s="4163"/>
      <c r="C65" s="4163"/>
      <c r="D65" s="4163"/>
      <c r="E65" s="4163"/>
      <c r="F65" s="4163"/>
      <c r="G65" s="4163"/>
      <c r="H65" s="4163"/>
      <c r="I65" s="4163"/>
      <c r="J65" s="4163"/>
    </row>
    <row r="66" spans="1:11">
      <c r="A66" s="4153" t="s">
        <v>4004</v>
      </c>
      <c r="B66" s="4154"/>
      <c r="C66" s="4154"/>
      <c r="D66" s="4154"/>
      <c r="E66" s="4154"/>
      <c r="F66" s="4154"/>
      <c r="G66" s="4154"/>
      <c r="H66" s="4154"/>
      <c r="I66" s="4154"/>
      <c r="J66" s="4154"/>
      <c r="K66" s="4155"/>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78" t="s">
        <v>4008</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Richmond Summit</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137413.88999999998</v>
      </c>
      <c r="K4" s="1008" t="s">
        <v>3665</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4" t="s">
        <v>2975</v>
      </c>
      <c r="C11" s="4824"/>
      <c r="D11" s="4824"/>
      <c r="E11" s="4824"/>
      <c r="F11" s="4824"/>
      <c r="G11" s="4825">
        <f>'Part II-Sources of Funds'!I51+'Part II-Sources of Funds'!I52</f>
        <v>17236276.230611015</v>
      </c>
      <c r="H11" s="4825"/>
    </row>
    <row r="12" spans="1:11" ht="1.5" customHeight="1">
      <c r="G12" s="617"/>
      <c r="H12" s="617"/>
    </row>
    <row r="13" spans="1:11" ht="26.25" customHeight="1">
      <c r="A13" s="636" t="s">
        <v>1843</v>
      </c>
      <c r="B13" s="4824" t="s">
        <v>2976</v>
      </c>
      <c r="C13" s="4824"/>
      <c r="D13" s="4824"/>
      <c r="E13" s="4824"/>
      <c r="F13" s="4824"/>
      <c r="G13" s="4826" t="s">
        <v>2813</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2979</v>
      </c>
      <c r="G16" s="4827" t="s">
        <v>2652</v>
      </c>
      <c r="H16" s="4827"/>
    </row>
    <row r="17" spans="1:8" ht="1.5" customHeight="1">
      <c r="G17" s="620"/>
    </row>
    <row r="18" spans="1:8" ht="12" customHeight="1">
      <c r="A18" s="636" t="s">
        <v>1962</v>
      </c>
      <c r="B18" s="617" t="s">
        <v>2977</v>
      </c>
      <c r="C18" s="636"/>
      <c r="D18" s="636"/>
      <c r="E18" s="636"/>
      <c r="G18" s="4790" t="s">
        <v>2514</v>
      </c>
      <c r="H18" s="4790"/>
    </row>
    <row r="19" spans="1:8" ht="12" hidden="1" customHeight="1">
      <c r="B19" s="4790"/>
      <c r="C19" s="4790"/>
      <c r="D19" s="4790"/>
      <c r="E19" s="4790"/>
      <c r="F19" s="4790"/>
      <c r="G19" s="4790"/>
      <c r="H19" s="4790"/>
    </row>
    <row r="20" spans="1:8" ht="13.5" customHeight="1"/>
    <row r="21" spans="1:8" ht="12" customHeight="1">
      <c r="A21" s="560" t="s">
        <v>2886</v>
      </c>
    </row>
    <row r="22" spans="1:8" ht="3" customHeight="1"/>
    <row r="23" spans="1:8" ht="24.75" customHeight="1">
      <c r="A23" s="4828" t="s">
        <v>4082</v>
      </c>
      <c r="B23" s="4828"/>
      <c r="C23" s="4828"/>
      <c r="D23" s="4828"/>
      <c r="E23" s="4828"/>
      <c r="F23" s="4828"/>
      <c r="G23" s="4828"/>
      <c r="H23" s="4828"/>
    </row>
    <row r="24" spans="1:8" ht="9" customHeight="1" thickBot="1">
      <c r="A24" s="611"/>
    </row>
    <row r="25" spans="1:8" ht="16.149999999999999" customHeight="1" thickBot="1">
      <c r="A25" s="4829">
        <v>20</v>
      </c>
      <c r="B25" s="4830"/>
      <c r="C25" s="1451" t="s">
        <v>975</v>
      </c>
    </row>
    <row r="26" spans="1:8" ht="9" customHeight="1">
      <c r="A26" s="611"/>
    </row>
    <row r="27" spans="1:8" ht="28.15" customHeight="1">
      <c r="A27" s="4822" t="s">
        <v>4087</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4080</v>
      </c>
      <c r="D29" s="638" t="s">
        <v>4081</v>
      </c>
    </row>
    <row r="30" spans="1:8" ht="1.9"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4085</v>
      </c>
      <c r="E33" s="4822" t="s">
        <v>3122</v>
      </c>
      <c r="F33" s="4822"/>
      <c r="G33" s="4822"/>
      <c r="H33" s="4822"/>
    </row>
    <row r="34" spans="1:11" ht="12.75" customHeight="1">
      <c r="C34" s="1450"/>
      <c r="D34" s="1448" t="s">
        <v>2984</v>
      </c>
      <c r="E34" s="4823" t="s">
        <v>3123</v>
      </c>
      <c r="F34" s="4823"/>
      <c r="G34" s="4823"/>
      <c r="H34" s="4823"/>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4085</v>
      </c>
      <c r="E38" s="4822" t="s">
        <v>3122</v>
      </c>
      <c r="F38" s="4822"/>
      <c r="G38" s="4822"/>
      <c r="H38" s="4822"/>
    </row>
    <row r="39" spans="1:11" ht="12.75" customHeight="1">
      <c r="C39" s="1450"/>
      <c r="D39" s="1448" t="s">
        <v>2984</v>
      </c>
      <c r="E39" s="4823" t="s">
        <v>3123</v>
      </c>
      <c r="F39" s="4823"/>
      <c r="G39" s="4823"/>
      <c r="H39" s="4823"/>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4085</v>
      </c>
      <c r="E43" s="4822" t="s">
        <v>3122</v>
      </c>
      <c r="F43" s="4822"/>
      <c r="G43" s="4822"/>
      <c r="H43" s="4822"/>
    </row>
    <row r="44" spans="1:11" ht="12.75" customHeight="1">
      <c r="C44" s="1450"/>
      <c r="D44" s="1448" t="s">
        <v>2984</v>
      </c>
      <c r="E44" s="4823" t="s">
        <v>3123</v>
      </c>
      <c r="F44" s="4823"/>
      <c r="G44" s="4823"/>
      <c r="H44" s="4823"/>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4085</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4085</v>
      </c>
      <c r="E55" s="4822" t="s">
        <v>3122</v>
      </c>
      <c r="F55" s="4822"/>
      <c r="G55" s="4822"/>
      <c r="H55" s="4822"/>
    </row>
    <row r="56" spans="1:11" ht="12.75" customHeight="1">
      <c r="C56" s="1450"/>
      <c r="D56" s="1448" t="s">
        <v>2984</v>
      </c>
      <c r="E56" s="4823" t="s">
        <v>3123</v>
      </c>
      <c r="F56" s="4823"/>
      <c r="G56" s="4823"/>
      <c r="H56" s="4823"/>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4085</v>
      </c>
      <c r="E60" s="4822" t="s">
        <v>3122</v>
      </c>
      <c r="F60" s="4822"/>
      <c r="G60" s="4822"/>
      <c r="H60" s="4822"/>
    </row>
    <row r="61" spans="1:11" ht="12.75" customHeight="1">
      <c r="C61" s="1450"/>
      <c r="D61" s="1448" t="s">
        <v>2984</v>
      </c>
      <c r="E61" s="4823" t="s">
        <v>3123</v>
      </c>
      <c r="F61" s="4823"/>
      <c r="G61" s="4823"/>
      <c r="H61" s="4823"/>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4085</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4085</v>
      </c>
      <c r="E72" s="4822" t="s">
        <v>3122</v>
      </c>
      <c r="F72" s="4822"/>
      <c r="G72" s="4822"/>
      <c r="H72" s="4822"/>
    </row>
    <row r="73" spans="1:8" ht="12.75" customHeight="1">
      <c r="C73" s="1450"/>
      <c r="D73" s="1448" t="s">
        <v>2984</v>
      </c>
      <c r="E73" s="4823" t="s">
        <v>3123</v>
      </c>
      <c r="F73" s="4823"/>
      <c r="G73" s="4823"/>
      <c r="H73" s="4823"/>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4085</v>
      </c>
      <c r="E77" s="4822" t="s">
        <v>3122</v>
      </c>
      <c r="F77" s="4822"/>
      <c r="G77" s="4822"/>
      <c r="H77" s="4822"/>
    </row>
    <row r="78" spans="1:8" ht="12.75" customHeight="1">
      <c r="C78" s="1450"/>
      <c r="D78" s="1448" t="s">
        <v>2984</v>
      </c>
      <c r="E78" s="4823" t="s">
        <v>3123</v>
      </c>
      <c r="F78" s="4823"/>
      <c r="G78" s="4823"/>
      <c r="H78" s="4823"/>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4085</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4085</v>
      </c>
      <c r="E89" s="4822" t="s">
        <v>3122</v>
      </c>
      <c r="F89" s="4822"/>
      <c r="G89" s="4822"/>
      <c r="H89" s="4822"/>
    </row>
    <row r="90" spans="3:8" ht="12.75" customHeight="1">
      <c r="C90" s="1450"/>
      <c r="D90" s="1448" t="s">
        <v>2984</v>
      </c>
      <c r="E90" s="4823" t="s">
        <v>3123</v>
      </c>
      <c r="F90" s="4823"/>
      <c r="G90" s="4823"/>
      <c r="H90" s="4823"/>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4085</v>
      </c>
      <c r="E94" s="4822" t="s">
        <v>3122</v>
      </c>
      <c r="F94" s="4822"/>
      <c r="G94" s="4822"/>
      <c r="H94" s="4822"/>
    </row>
    <row r="95" spans="3:8" ht="12.75" customHeight="1">
      <c r="C95" s="1450"/>
      <c r="D95" s="1448" t="s">
        <v>2984</v>
      </c>
      <c r="E95" s="4823" t="s">
        <v>3123</v>
      </c>
      <c r="F95" s="4823"/>
      <c r="G95" s="4823"/>
      <c r="H95" s="4823"/>
    </row>
    <row r="96" spans="3:8" ht="6" customHeight="1">
      <c r="D96" s="639"/>
      <c r="E96" s="1025"/>
      <c r="F96" s="1025"/>
      <c r="G96" s="1025"/>
      <c r="H96" s="1025"/>
    </row>
    <row r="97" spans="1:11">
      <c r="A97" s="620" t="s">
        <v>2980</v>
      </c>
      <c r="B97" s="637" t="str">
        <f>IF('Part V-Revenues &amp; Expenses'!$O$62=0,"",'Part V-Revenues &amp; Expenses'!$O$62)</f>
        <v/>
      </c>
      <c r="C97" s="620" t="s">
        <v>4083</v>
      </c>
      <c r="D97" s="638" t="s">
        <v>4084</v>
      </c>
    </row>
    <row r="98" spans="1:11" ht="1.9"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149999999999999" customHeight="1" thickBot="1">
      <c r="A104" s="4829">
        <v>30</v>
      </c>
      <c r="B104" s="4830"/>
      <c r="C104" s="1451" t="s">
        <v>975</v>
      </c>
    </row>
    <row r="105" spans="1:11" ht="9" customHeight="1">
      <c r="A105" s="611"/>
    </row>
    <row r="106" spans="1:11" ht="28.15" customHeight="1">
      <c r="A106" s="4822" t="s">
        <v>4088</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4080</v>
      </c>
      <c r="D108" s="638" t="s">
        <v>4081</v>
      </c>
    </row>
    <row r="109" spans="1:11" ht="1.9"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4085</v>
      </c>
      <c r="E112" s="4822" t="s">
        <v>3122</v>
      </c>
      <c r="F112" s="4822"/>
      <c r="G112" s="4822"/>
      <c r="H112" s="4822"/>
    </row>
    <row r="113" spans="1:8" ht="12.75" customHeight="1">
      <c r="C113" s="1450"/>
      <c r="D113" s="1448" t="s">
        <v>2984</v>
      </c>
      <c r="E113" s="4823" t="s">
        <v>3123</v>
      </c>
      <c r="F113" s="4823"/>
      <c r="G113" s="4823"/>
      <c r="H113" s="4823"/>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4085</v>
      </c>
      <c r="E117" s="4822" t="s">
        <v>3122</v>
      </c>
      <c r="F117" s="4822"/>
      <c r="G117" s="4822"/>
      <c r="H117" s="4822"/>
    </row>
    <row r="118" spans="1:8" ht="12.75" customHeight="1">
      <c r="C118" s="1450"/>
      <c r="D118" s="1448" t="s">
        <v>2984</v>
      </c>
      <c r="E118" s="4823" t="s">
        <v>3123</v>
      </c>
      <c r="F118" s="4823"/>
      <c r="G118" s="4823"/>
      <c r="H118" s="4823"/>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4085</v>
      </c>
      <c r="E122" s="4822" t="s">
        <v>3122</v>
      </c>
      <c r="F122" s="4822"/>
      <c r="G122" s="4822"/>
      <c r="H122" s="4822"/>
    </row>
    <row r="123" spans="1:8" ht="12.75" customHeight="1">
      <c r="C123" s="1450"/>
      <c r="D123" s="1448" t="s">
        <v>2984</v>
      </c>
      <c r="E123" s="4823" t="s">
        <v>3123</v>
      </c>
      <c r="F123" s="4823"/>
      <c r="G123" s="4823"/>
      <c r="H123" s="4823"/>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4085</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4085</v>
      </c>
      <c r="E134" s="4822" t="s">
        <v>3122</v>
      </c>
      <c r="F134" s="4822"/>
      <c r="G134" s="4822"/>
      <c r="H134" s="4822"/>
    </row>
    <row r="135" spans="1:8" ht="12.75" customHeight="1">
      <c r="C135" s="1450"/>
      <c r="D135" s="1448" t="s">
        <v>2984</v>
      </c>
      <c r="E135" s="4823" t="s">
        <v>3123</v>
      </c>
      <c r="F135" s="4823"/>
      <c r="G135" s="4823"/>
      <c r="H135" s="4823"/>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4085</v>
      </c>
      <c r="E139" s="4822" t="s">
        <v>3122</v>
      </c>
      <c r="F139" s="4822"/>
      <c r="G139" s="4822"/>
      <c r="H139" s="4822"/>
    </row>
    <row r="140" spans="1:8" ht="12.75" customHeight="1">
      <c r="C140" s="1450"/>
      <c r="D140" s="1448" t="s">
        <v>2984</v>
      </c>
      <c r="E140" s="4823" t="s">
        <v>3123</v>
      </c>
      <c r="F140" s="4823"/>
      <c r="G140" s="4823"/>
      <c r="H140" s="4823"/>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4085</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4085</v>
      </c>
      <c r="E151" s="4822" t="s">
        <v>3122</v>
      </c>
      <c r="F151" s="4822"/>
      <c r="G151" s="4822"/>
      <c r="H151" s="4822"/>
    </row>
    <row r="152" spans="1:8" ht="12.75" customHeight="1">
      <c r="C152" s="1450"/>
      <c r="D152" s="1448" t="s">
        <v>2984</v>
      </c>
      <c r="E152" s="4823" t="s">
        <v>3123</v>
      </c>
      <c r="F152" s="4823"/>
      <c r="G152" s="4823"/>
      <c r="H152" s="4823"/>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4085</v>
      </c>
      <c r="E156" s="4822" t="s">
        <v>3122</v>
      </c>
      <c r="F156" s="4822"/>
      <c r="G156" s="4822"/>
      <c r="H156" s="4822"/>
    </row>
    <row r="157" spans="1:8" ht="12.75" customHeight="1">
      <c r="C157" s="1450"/>
      <c r="D157" s="1448" t="s">
        <v>2984</v>
      </c>
      <c r="E157" s="4823" t="s">
        <v>3123</v>
      </c>
      <c r="F157" s="4823"/>
      <c r="G157" s="4823"/>
      <c r="H157" s="4823"/>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4085</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4085</v>
      </c>
      <c r="E168" s="4822" t="s">
        <v>3122</v>
      </c>
      <c r="F168" s="4822"/>
      <c r="G168" s="4822"/>
      <c r="H168" s="4822"/>
    </row>
    <row r="169" spans="1:8" ht="12.75" customHeight="1">
      <c r="C169" s="1450"/>
      <c r="D169" s="1448" t="s">
        <v>2984</v>
      </c>
      <c r="E169" s="4823" t="s">
        <v>3123</v>
      </c>
      <c r="F169" s="4823"/>
      <c r="G169" s="4823"/>
      <c r="H169" s="4823"/>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4085</v>
      </c>
      <c r="E173" s="4822" t="s">
        <v>3122</v>
      </c>
      <c r="F173" s="4822"/>
      <c r="G173" s="4822"/>
      <c r="H173" s="4822"/>
    </row>
    <row r="174" spans="1:8" ht="12.75" customHeight="1">
      <c r="C174" s="1450"/>
      <c r="D174" s="1448" t="s">
        <v>2984</v>
      </c>
      <c r="E174" s="4823" t="s">
        <v>3123</v>
      </c>
      <c r="F174" s="4823"/>
      <c r="G174" s="4823"/>
      <c r="H174" s="4823"/>
    </row>
    <row r="175" spans="1:8" ht="6" customHeight="1">
      <c r="D175" s="639"/>
      <c r="E175" s="1025"/>
      <c r="F175" s="1025"/>
      <c r="G175" s="1025"/>
      <c r="H175" s="1025"/>
    </row>
    <row r="176" spans="1:8">
      <c r="A176" s="620" t="s">
        <v>2980</v>
      </c>
      <c r="B176" s="637" t="str">
        <f>IF('Part V-Revenues &amp; Expenses'!$O61=0,"",'Part V-Revenues &amp; Expenses'!$O$61)</f>
        <v/>
      </c>
      <c r="C176" s="620" t="s">
        <v>4083</v>
      </c>
      <c r="D176" s="638" t="s">
        <v>4084</v>
      </c>
    </row>
    <row r="177" spans="1:11" ht="1.9"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149999999999999" customHeight="1" thickBot="1">
      <c r="A183" s="4829">
        <v>40</v>
      </c>
      <c r="B183" s="4830"/>
      <c r="C183" s="1451" t="s">
        <v>975</v>
      </c>
    </row>
    <row r="184" spans="1:11" ht="9" customHeight="1">
      <c r="A184" s="611"/>
    </row>
    <row r="185" spans="1:11" ht="28.15" customHeight="1">
      <c r="A185" s="4822" t="s">
        <v>4089</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4080</v>
      </c>
      <c r="D187" s="638" t="s">
        <v>4081</v>
      </c>
    </row>
    <row r="188" spans="1:11" ht="1.9"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4085</v>
      </c>
      <c r="E191" s="4822" t="s">
        <v>3122</v>
      </c>
      <c r="F191" s="4822"/>
      <c r="G191" s="4822"/>
      <c r="H191" s="4822"/>
    </row>
    <row r="192" spans="1:11" ht="12.75" customHeight="1">
      <c r="C192" s="1450"/>
      <c r="D192" s="1448" t="s">
        <v>2984</v>
      </c>
      <c r="E192" s="4823" t="s">
        <v>3123</v>
      </c>
      <c r="F192" s="4823"/>
      <c r="G192" s="4823"/>
      <c r="H192" s="4823"/>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4085</v>
      </c>
      <c r="E196" s="4822" t="s">
        <v>3122</v>
      </c>
      <c r="F196" s="4822"/>
      <c r="G196" s="4822"/>
      <c r="H196" s="4822"/>
    </row>
    <row r="197" spans="1:8" ht="12.75" customHeight="1">
      <c r="C197" s="1450"/>
      <c r="D197" s="1448" t="s">
        <v>2984</v>
      </c>
      <c r="E197" s="4823" t="s">
        <v>3123</v>
      </c>
      <c r="F197" s="4823"/>
      <c r="G197" s="4823"/>
      <c r="H197" s="4823"/>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4085</v>
      </c>
      <c r="E201" s="4822" t="s">
        <v>3122</v>
      </c>
      <c r="F201" s="4822"/>
      <c r="G201" s="4822"/>
      <c r="H201" s="4822"/>
    </row>
    <row r="202" spans="1:8" ht="12.75" customHeight="1">
      <c r="C202" s="1450"/>
      <c r="D202" s="1448" t="s">
        <v>2984</v>
      </c>
      <c r="E202" s="4823" t="s">
        <v>3123</v>
      </c>
      <c r="F202" s="4823"/>
      <c r="G202" s="4823"/>
      <c r="H202" s="4823"/>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4085</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4085</v>
      </c>
      <c r="E213" s="4822" t="s">
        <v>3122</v>
      </c>
      <c r="F213" s="4822"/>
      <c r="G213" s="4822"/>
      <c r="H213" s="4822"/>
    </row>
    <row r="214" spans="1:8" ht="12.75" customHeight="1">
      <c r="C214" s="1450"/>
      <c r="D214" s="1448" t="s">
        <v>2984</v>
      </c>
      <c r="E214" s="4823" t="s">
        <v>3123</v>
      </c>
      <c r="F214" s="4823"/>
      <c r="G214" s="4823"/>
      <c r="H214" s="4823"/>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4085</v>
      </c>
      <c r="E218" s="4822" t="s">
        <v>3122</v>
      </c>
      <c r="F218" s="4822"/>
      <c r="G218" s="4822"/>
      <c r="H218" s="4822"/>
    </row>
    <row r="219" spans="1:8" ht="12.75" customHeight="1">
      <c r="C219" s="1450"/>
      <c r="D219" s="1448" t="s">
        <v>2984</v>
      </c>
      <c r="E219" s="4823" t="s">
        <v>3123</v>
      </c>
      <c r="F219" s="4823"/>
      <c r="G219" s="4823"/>
      <c r="H219" s="4823"/>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4085</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4085</v>
      </c>
      <c r="E230" s="4822" t="s">
        <v>3122</v>
      </c>
      <c r="F230" s="4822"/>
      <c r="G230" s="4822"/>
      <c r="H230" s="4822"/>
    </row>
    <row r="231" spans="1:8" ht="12.75" customHeight="1">
      <c r="C231" s="1450"/>
      <c r="D231" s="1448" t="s">
        <v>2984</v>
      </c>
      <c r="E231" s="4823" t="s">
        <v>3123</v>
      </c>
      <c r="F231" s="4823"/>
      <c r="G231" s="4823"/>
      <c r="H231" s="4823"/>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4085</v>
      </c>
      <c r="E235" s="4822" t="s">
        <v>3122</v>
      </c>
      <c r="F235" s="4822"/>
      <c r="G235" s="4822"/>
      <c r="H235" s="4822"/>
    </row>
    <row r="236" spans="1:8" ht="12.75" customHeight="1">
      <c r="C236" s="1450"/>
      <c r="D236" s="1448" t="s">
        <v>2984</v>
      </c>
      <c r="E236" s="4823" t="s">
        <v>3123</v>
      </c>
      <c r="F236" s="4823"/>
      <c r="G236" s="4823"/>
      <c r="H236" s="4823"/>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4085</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4085</v>
      </c>
      <c r="E247" s="4822" t="s">
        <v>3122</v>
      </c>
      <c r="F247" s="4822"/>
      <c r="G247" s="4822"/>
      <c r="H247" s="4822"/>
    </row>
    <row r="248" spans="1:8" ht="12.75" customHeight="1">
      <c r="C248" s="1450"/>
      <c r="D248" s="1448" t="s">
        <v>2984</v>
      </c>
      <c r="E248" s="4823" t="s">
        <v>3123</v>
      </c>
      <c r="F248" s="4823"/>
      <c r="G248" s="4823"/>
      <c r="H248" s="4823"/>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4085</v>
      </c>
      <c r="E252" s="4822" t="s">
        <v>3122</v>
      </c>
      <c r="F252" s="4822"/>
      <c r="G252" s="4822"/>
      <c r="H252" s="4822"/>
    </row>
    <row r="253" spans="1:8" ht="12.75" customHeight="1">
      <c r="C253" s="1450"/>
      <c r="D253" s="1448" t="s">
        <v>2984</v>
      </c>
      <c r="E253" s="4823" t="s">
        <v>3123</v>
      </c>
      <c r="F253" s="4823"/>
      <c r="G253" s="4823"/>
      <c r="H253" s="4823"/>
    </row>
    <row r="254" spans="1:8" ht="6" customHeight="1">
      <c r="D254" s="639"/>
      <c r="E254" s="1025"/>
      <c r="F254" s="1025"/>
      <c r="G254" s="1025"/>
      <c r="H254" s="1025"/>
    </row>
    <row r="255" spans="1:8">
      <c r="A255" s="620" t="s">
        <v>2980</v>
      </c>
      <c r="B255" s="637" t="str">
        <f>IF('Part V-Revenues &amp; Expenses'!$O$60=0,"",'Part V-Revenues &amp; Expenses'!$O$60)</f>
        <v/>
      </c>
      <c r="C255" s="620" t="s">
        <v>4083</v>
      </c>
      <c r="D255" s="638" t="s">
        <v>4084</v>
      </c>
    </row>
    <row r="256" spans="1:8" ht="1.9"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149999999999999" customHeight="1" thickBot="1">
      <c r="A262" s="4829">
        <v>50</v>
      </c>
      <c r="B262" s="4830"/>
      <c r="C262" s="1451" t="s">
        <v>975</v>
      </c>
    </row>
    <row r="263" spans="1:11" ht="9" customHeight="1">
      <c r="A263" s="611"/>
    </row>
    <row r="264" spans="1:11" ht="28.15" customHeight="1">
      <c r="A264" s="4822" t="s">
        <v>4086</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4080</v>
      </c>
      <c r="D266" s="638" t="s">
        <v>4081</v>
      </c>
    </row>
    <row r="267" spans="1:11" ht="1.9"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4085</v>
      </c>
      <c r="E270" s="4822" t="s">
        <v>3122</v>
      </c>
      <c r="F270" s="4822"/>
      <c r="G270" s="4822"/>
      <c r="H270" s="4822"/>
    </row>
    <row r="271" spans="1:11" ht="12.75" customHeight="1">
      <c r="C271" s="1450"/>
      <c r="D271" s="1448" t="s">
        <v>2984</v>
      </c>
      <c r="E271" s="4823" t="s">
        <v>3123</v>
      </c>
      <c r="F271" s="4823"/>
      <c r="G271" s="4823"/>
      <c r="H271" s="4823"/>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4085</v>
      </c>
      <c r="E275" s="4822" t="s">
        <v>3122</v>
      </c>
      <c r="F275" s="4822"/>
      <c r="G275" s="4822"/>
      <c r="H275" s="4822"/>
    </row>
    <row r="276" spans="1:8" ht="12.75" customHeight="1">
      <c r="C276" s="1450"/>
      <c r="D276" s="1448" t="s">
        <v>2984</v>
      </c>
      <c r="E276" s="4823" t="s">
        <v>3123</v>
      </c>
      <c r="F276" s="4823"/>
      <c r="G276" s="4823"/>
      <c r="H276" s="4823"/>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4085</v>
      </c>
      <c r="E280" s="4822" t="s">
        <v>3122</v>
      </c>
      <c r="F280" s="4822"/>
      <c r="G280" s="4822"/>
      <c r="H280" s="4822"/>
    </row>
    <row r="281" spans="1:8" ht="12.75" customHeight="1">
      <c r="C281" s="1450"/>
      <c r="D281" s="1448" t="s">
        <v>2984</v>
      </c>
      <c r="E281" s="4823" t="s">
        <v>3123</v>
      </c>
      <c r="F281" s="4823"/>
      <c r="G281" s="4823"/>
      <c r="H281" s="4823"/>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4085</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4085</v>
      </c>
      <c r="E292" s="4822" t="s">
        <v>3122</v>
      </c>
      <c r="F292" s="4822"/>
      <c r="G292" s="4822"/>
      <c r="H292" s="4822"/>
    </row>
    <row r="293" spans="1:8" ht="12.75" customHeight="1">
      <c r="C293" s="1450"/>
      <c r="D293" s="1448" t="s">
        <v>2984</v>
      </c>
      <c r="E293" s="4823" t="s">
        <v>3123</v>
      </c>
      <c r="F293" s="4823"/>
      <c r="G293" s="4823"/>
      <c r="H293" s="4823"/>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4085</v>
      </c>
      <c r="E297" s="4822" t="s">
        <v>3122</v>
      </c>
      <c r="F297" s="4822"/>
      <c r="G297" s="4822"/>
      <c r="H297" s="4822"/>
    </row>
    <row r="298" spans="1:8" ht="12.75" customHeight="1">
      <c r="C298" s="1450"/>
      <c r="D298" s="1448" t="s">
        <v>2984</v>
      </c>
      <c r="E298" s="4823" t="s">
        <v>3123</v>
      </c>
      <c r="F298" s="4823"/>
      <c r="G298" s="4823"/>
      <c r="H298" s="4823"/>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4085</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4085</v>
      </c>
      <c r="E309" s="4822" t="s">
        <v>3122</v>
      </c>
      <c r="F309" s="4822"/>
      <c r="G309" s="4822"/>
      <c r="H309" s="4822"/>
    </row>
    <row r="310" spans="1:8" ht="12.75" customHeight="1">
      <c r="C310" s="1450"/>
      <c r="D310" s="1448" t="s">
        <v>2984</v>
      </c>
      <c r="E310" s="4823" t="s">
        <v>3123</v>
      </c>
      <c r="F310" s="4823"/>
      <c r="G310" s="4823"/>
      <c r="H310" s="4823"/>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4085</v>
      </c>
      <c r="E314" s="4822" t="s">
        <v>3122</v>
      </c>
      <c r="F314" s="4822"/>
      <c r="G314" s="4822"/>
      <c r="H314" s="4822"/>
    </row>
    <row r="315" spans="1:8" ht="12.75" customHeight="1">
      <c r="C315" s="1450"/>
      <c r="D315" s="1448" t="s">
        <v>2984</v>
      </c>
      <c r="E315" s="4823" t="s">
        <v>3123</v>
      </c>
      <c r="F315" s="4823"/>
      <c r="G315" s="4823"/>
      <c r="H315" s="4823"/>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4085</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4085</v>
      </c>
      <c r="E326" s="4822" t="s">
        <v>3122</v>
      </c>
      <c r="F326" s="4822"/>
      <c r="G326" s="4822"/>
      <c r="H326" s="4822"/>
    </row>
    <row r="327" spans="1:11" ht="12.75" customHeight="1">
      <c r="C327" s="1450"/>
      <c r="D327" s="1448" t="s">
        <v>2984</v>
      </c>
      <c r="E327" s="4823" t="s">
        <v>3123</v>
      </c>
      <c r="F327" s="4823"/>
      <c r="G327" s="4823"/>
      <c r="H327" s="4823"/>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4085</v>
      </c>
      <c r="E331" s="4822" t="s">
        <v>3122</v>
      </c>
      <c r="F331" s="4822"/>
      <c r="G331" s="4822"/>
      <c r="H331" s="4822"/>
    </row>
    <row r="332" spans="1:11" ht="12.75" customHeight="1">
      <c r="C332" s="1450"/>
      <c r="D332" s="1448" t="s">
        <v>2984</v>
      </c>
      <c r="E332" s="4823" t="s">
        <v>3123</v>
      </c>
      <c r="F332" s="4823"/>
      <c r="G332" s="4823"/>
      <c r="H332" s="4823"/>
    </row>
    <row r="333" spans="1:11" ht="6" customHeight="1">
      <c r="D333" s="639"/>
      <c r="E333" s="1025"/>
      <c r="F333" s="1025"/>
      <c r="G333" s="1025"/>
      <c r="H333" s="1025"/>
    </row>
    <row r="334" spans="1:11">
      <c r="A334" s="620" t="s">
        <v>2980</v>
      </c>
      <c r="B334" s="637" t="str">
        <f>IF('Part V-Revenues &amp; Expenses'!$O$59=0,"",'Part V-Revenues &amp; Expenses'!$O$59)</f>
        <v/>
      </c>
      <c r="C334" s="620" t="s">
        <v>4083</v>
      </c>
      <c r="D334" s="638" t="s">
        <v>4084</v>
      </c>
    </row>
    <row r="335" spans="1:11" ht="1.9"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149999999999999" customHeight="1" thickBot="1">
      <c r="A342" s="4829">
        <v>60</v>
      </c>
      <c r="B342" s="4830"/>
      <c r="C342" s="1451" t="s">
        <v>975</v>
      </c>
    </row>
    <row r="343" spans="1:8" ht="9" customHeight="1">
      <c r="A343" s="611"/>
    </row>
    <row r="344" spans="1:8" ht="28.15" customHeight="1">
      <c r="A344" s="4822" t="s">
        <v>4090</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4080</v>
      </c>
      <c r="D346" s="638" t="s">
        <v>4081</v>
      </c>
    </row>
    <row r="347" spans="1:8" ht="1.9"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4085</v>
      </c>
      <c r="E350" s="4822" t="s">
        <v>3122</v>
      </c>
      <c r="F350" s="4822"/>
      <c r="G350" s="4822"/>
      <c r="H350" s="4822"/>
    </row>
    <row r="351" spans="1:8" ht="12.75" customHeight="1">
      <c r="C351" s="1450"/>
      <c r="D351" s="1448" t="s">
        <v>2984</v>
      </c>
      <c r="E351" s="4823" t="s">
        <v>3123</v>
      </c>
      <c r="F351" s="4823"/>
      <c r="G351" s="4823"/>
      <c r="H351" s="4823"/>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4085</v>
      </c>
      <c r="E355" s="4822" t="s">
        <v>3122</v>
      </c>
      <c r="F355" s="4822"/>
      <c r="G355" s="4822"/>
      <c r="H355" s="4822"/>
    </row>
    <row r="356" spans="1:8" ht="12.75" customHeight="1">
      <c r="C356" s="1450"/>
      <c r="D356" s="1448" t="s">
        <v>2984</v>
      </c>
      <c r="E356" s="4823" t="s">
        <v>3123</v>
      </c>
      <c r="F356" s="4823"/>
      <c r="G356" s="4823"/>
      <c r="H356" s="4823"/>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4085</v>
      </c>
      <c r="E360" s="4822" t="s">
        <v>3122</v>
      </c>
      <c r="F360" s="4822"/>
      <c r="G360" s="4822"/>
      <c r="H360" s="4822"/>
    </row>
    <row r="361" spans="1:8" ht="12.75" customHeight="1">
      <c r="C361" s="1450"/>
      <c r="D361" s="1448" t="s">
        <v>2984</v>
      </c>
      <c r="E361" s="4823" t="s">
        <v>3123</v>
      </c>
      <c r="F361" s="4823"/>
      <c r="G361" s="4823"/>
      <c r="H361" s="4823"/>
    </row>
    <row r="362" spans="1:8" ht="6" customHeight="1">
      <c r="D362" s="639"/>
      <c r="E362" s="1025"/>
      <c r="F362" s="1025"/>
      <c r="G362" s="1025"/>
      <c r="H362" s="1025"/>
    </row>
    <row r="363" spans="1:8">
      <c r="A363" s="620" t="s">
        <v>2980</v>
      </c>
      <c r="B363" s="637">
        <f>IF('Part V-Revenues &amp; Expenses'!$L$58=0,"",'Part V-Revenues &amp; Expenses'!$L$58)</f>
        <v>129</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4085</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4085</v>
      </c>
      <c r="E372" s="4822" t="s">
        <v>3122</v>
      </c>
      <c r="F372" s="4822"/>
      <c r="G372" s="4822"/>
      <c r="H372" s="4822"/>
    </row>
    <row r="373" spans="1:8" ht="12.75" customHeight="1">
      <c r="C373" s="1450"/>
      <c r="D373" s="1448" t="s">
        <v>2984</v>
      </c>
      <c r="E373" s="4823" t="s">
        <v>3123</v>
      </c>
      <c r="F373" s="4823"/>
      <c r="G373" s="4823"/>
      <c r="H373" s="4823"/>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4085</v>
      </c>
      <c r="E377" s="4822" t="s">
        <v>3122</v>
      </c>
      <c r="F377" s="4822"/>
      <c r="G377" s="4822"/>
      <c r="H377" s="4822"/>
    </row>
    <row r="378" spans="1:8" ht="12.75" customHeight="1">
      <c r="C378" s="1450"/>
      <c r="D378" s="1448" t="s">
        <v>2984</v>
      </c>
      <c r="E378" s="4823" t="s">
        <v>3123</v>
      </c>
      <c r="F378" s="4823"/>
      <c r="G378" s="4823"/>
      <c r="H378" s="4823"/>
    </row>
    <row r="379" spans="1:8" ht="6" customHeight="1">
      <c r="D379" s="639"/>
      <c r="E379" s="1025"/>
      <c r="F379" s="1025"/>
      <c r="G379" s="1025"/>
      <c r="H379" s="1025"/>
    </row>
    <row r="380" spans="1:8">
      <c r="A380" s="620" t="s">
        <v>2980</v>
      </c>
      <c r="B380" s="637">
        <f>IF('Part V-Revenues &amp; Expenses'!$M$58=0,"",'Part V-Revenues &amp; Expenses'!$M$58)</f>
        <v>6</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4085</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4085</v>
      </c>
      <c r="E389" s="4822" t="s">
        <v>3122</v>
      </c>
      <c r="F389" s="4822"/>
      <c r="G389" s="4822"/>
      <c r="H389" s="4822"/>
    </row>
    <row r="390" spans="1:8" ht="12.75" customHeight="1">
      <c r="C390" s="1450"/>
      <c r="D390" s="1448" t="s">
        <v>2984</v>
      </c>
      <c r="E390" s="4823" t="s">
        <v>3123</v>
      </c>
      <c r="F390" s="4823"/>
      <c r="G390" s="4823"/>
      <c r="H390" s="4823"/>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4085</v>
      </c>
      <c r="E394" s="4822" t="s">
        <v>3122</v>
      </c>
      <c r="F394" s="4822"/>
      <c r="G394" s="4822"/>
      <c r="H394" s="4822"/>
    </row>
    <row r="395" spans="1:8" ht="12.75" customHeight="1">
      <c r="C395" s="1450"/>
      <c r="D395" s="1448" t="s">
        <v>2984</v>
      </c>
      <c r="E395" s="4823" t="s">
        <v>3123</v>
      </c>
      <c r="F395" s="4823"/>
      <c r="G395" s="4823"/>
      <c r="H395" s="4823"/>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4085</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4085</v>
      </c>
      <c r="E406" s="4822" t="s">
        <v>3122</v>
      </c>
      <c r="F406" s="4822"/>
      <c r="G406" s="4822"/>
      <c r="H406" s="4822"/>
    </row>
    <row r="407" spans="1:11" ht="12.75" customHeight="1">
      <c r="C407" s="1450"/>
      <c r="D407" s="1448" t="s">
        <v>2984</v>
      </c>
      <c r="E407" s="4823" t="s">
        <v>3123</v>
      </c>
      <c r="F407" s="4823"/>
      <c r="G407" s="4823"/>
      <c r="H407" s="4823"/>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4085</v>
      </c>
      <c r="E411" s="4822" t="s">
        <v>3122</v>
      </c>
      <c r="F411" s="4822"/>
      <c r="G411" s="4822"/>
      <c r="H411" s="4822"/>
    </row>
    <row r="412" spans="1:11" ht="12.75" customHeight="1">
      <c r="C412" s="1450"/>
      <c r="D412" s="1448" t="s">
        <v>2984</v>
      </c>
      <c r="E412" s="4823" t="s">
        <v>3123</v>
      </c>
      <c r="F412" s="4823"/>
      <c r="G412" s="4823"/>
      <c r="H412" s="4823"/>
    </row>
    <row r="413" spans="1:11" ht="6" customHeight="1">
      <c r="D413" s="639"/>
      <c r="E413" s="1025"/>
      <c r="F413" s="1025"/>
      <c r="G413" s="1025"/>
      <c r="H413" s="1025"/>
    </row>
    <row r="414" spans="1:11">
      <c r="A414" s="620" t="s">
        <v>2980</v>
      </c>
      <c r="B414" s="637" t="str">
        <f>IF('Part V-Revenues &amp; Expenses'!$O$58=0,"",'Part V-Revenues &amp; Expenses'!$O$58)</f>
        <v/>
      </c>
      <c r="C414" s="620" t="s">
        <v>4083</v>
      </c>
      <c r="D414" s="638" t="s">
        <v>4084</v>
      </c>
    </row>
    <row r="415" spans="1:11" ht="1.9"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149999999999999" customHeight="1" thickBot="1">
      <c r="A421" s="4829">
        <v>70</v>
      </c>
      <c r="B421" s="4830"/>
      <c r="C421" s="1451" t="s">
        <v>975</v>
      </c>
    </row>
    <row r="422" spans="1:8" ht="9" customHeight="1">
      <c r="A422" s="611"/>
    </row>
    <row r="423" spans="1:8" ht="28.15" customHeight="1">
      <c r="A423" s="4822" t="s">
        <v>4091</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4080</v>
      </c>
      <c r="D425" s="638" t="s">
        <v>4081</v>
      </c>
    </row>
    <row r="426" spans="1:8" ht="1.9"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4085</v>
      </c>
      <c r="E429" s="4822" t="s">
        <v>3122</v>
      </c>
      <c r="F429" s="4822"/>
      <c r="G429" s="4822"/>
      <c r="H429" s="4822"/>
    </row>
    <row r="430" spans="1:8" ht="12.75" customHeight="1">
      <c r="C430" s="1450"/>
      <c r="D430" s="1448" t="s">
        <v>2984</v>
      </c>
      <c r="E430" s="4823" t="s">
        <v>3123</v>
      </c>
      <c r="F430" s="4823"/>
      <c r="G430" s="4823"/>
      <c r="H430" s="4823"/>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4085</v>
      </c>
      <c r="E434" s="4822" t="s">
        <v>3122</v>
      </c>
      <c r="F434" s="4822"/>
      <c r="G434" s="4822"/>
      <c r="H434" s="4822"/>
    </row>
    <row r="435" spans="1:8" ht="12.75" customHeight="1">
      <c r="C435" s="1450"/>
      <c r="D435" s="1448" t="s">
        <v>2984</v>
      </c>
      <c r="E435" s="4823" t="s">
        <v>3123</v>
      </c>
      <c r="F435" s="4823"/>
      <c r="G435" s="4823"/>
      <c r="H435" s="4823"/>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4085</v>
      </c>
      <c r="E439" s="4822" t="s">
        <v>3122</v>
      </c>
      <c r="F439" s="4822"/>
      <c r="G439" s="4822"/>
      <c r="H439" s="4822"/>
    </row>
    <row r="440" spans="1:8" ht="12.75" customHeight="1">
      <c r="C440" s="1450"/>
      <c r="D440" s="1448" t="s">
        <v>2984</v>
      </c>
      <c r="E440" s="4823" t="s">
        <v>3123</v>
      </c>
      <c r="F440" s="4823"/>
      <c r="G440" s="4823"/>
      <c r="H440" s="4823"/>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4085</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4085</v>
      </c>
      <c r="E451" s="4822" t="s">
        <v>3122</v>
      </c>
      <c r="F451" s="4822"/>
      <c r="G451" s="4822"/>
      <c r="H451" s="4822"/>
    </row>
    <row r="452" spans="1:8" ht="12.75" customHeight="1">
      <c r="C452" s="1450"/>
      <c r="D452" s="1448" t="s">
        <v>2984</v>
      </c>
      <c r="E452" s="4823" t="s">
        <v>3123</v>
      </c>
      <c r="F452" s="4823"/>
      <c r="G452" s="4823"/>
      <c r="H452" s="4823"/>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4085</v>
      </c>
      <c r="E456" s="4822" t="s">
        <v>3122</v>
      </c>
      <c r="F456" s="4822"/>
      <c r="G456" s="4822"/>
      <c r="H456" s="4822"/>
    </row>
    <row r="457" spans="1:8" ht="12.75" customHeight="1">
      <c r="C457" s="1450"/>
      <c r="D457" s="1448" t="s">
        <v>2984</v>
      </c>
      <c r="E457" s="4823" t="s">
        <v>3123</v>
      </c>
      <c r="F457" s="4823"/>
      <c r="G457" s="4823"/>
      <c r="H457" s="4823"/>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4085</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4085</v>
      </c>
      <c r="E468" s="4822" t="s">
        <v>3122</v>
      </c>
      <c r="F468" s="4822"/>
      <c r="G468" s="4822"/>
      <c r="H468" s="4822"/>
    </row>
    <row r="469" spans="1:8" ht="12.75" customHeight="1">
      <c r="C469" s="1450"/>
      <c r="D469" s="1448" t="s">
        <v>2984</v>
      </c>
      <c r="E469" s="4823" t="s">
        <v>3123</v>
      </c>
      <c r="F469" s="4823"/>
      <c r="G469" s="4823"/>
      <c r="H469" s="4823"/>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4085</v>
      </c>
      <c r="E473" s="4822" t="s">
        <v>3122</v>
      </c>
      <c r="F473" s="4822"/>
      <c r="G473" s="4822"/>
      <c r="H473" s="4822"/>
    </row>
    <row r="474" spans="1:8" ht="12.75" customHeight="1">
      <c r="C474" s="1450"/>
      <c r="D474" s="1448" t="s">
        <v>2984</v>
      </c>
      <c r="E474" s="4823" t="s">
        <v>3123</v>
      </c>
      <c r="F474" s="4823"/>
      <c r="G474" s="4823"/>
      <c r="H474" s="4823"/>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4085</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4085</v>
      </c>
      <c r="E485" s="4822" t="s">
        <v>3122</v>
      </c>
      <c r="F485" s="4822"/>
      <c r="G485" s="4822"/>
      <c r="H485" s="4822"/>
    </row>
    <row r="486" spans="1:11" ht="12.75" customHeight="1">
      <c r="C486" s="1450"/>
      <c r="D486" s="1448" t="s">
        <v>2984</v>
      </c>
      <c r="E486" s="4823" t="s">
        <v>3123</v>
      </c>
      <c r="F486" s="4823"/>
      <c r="G486" s="4823"/>
      <c r="H486" s="4823"/>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4085</v>
      </c>
      <c r="E490" s="4822" t="s">
        <v>3122</v>
      </c>
      <c r="F490" s="4822"/>
      <c r="G490" s="4822"/>
      <c r="H490" s="4822"/>
    </row>
    <row r="491" spans="1:11" ht="12.75" customHeight="1">
      <c r="C491" s="1450"/>
      <c r="D491" s="1448" t="s">
        <v>2984</v>
      </c>
      <c r="E491" s="4823" t="s">
        <v>3123</v>
      </c>
      <c r="F491" s="4823"/>
      <c r="G491" s="4823"/>
      <c r="H491" s="4823"/>
    </row>
    <row r="492" spans="1:11" ht="6" customHeight="1">
      <c r="D492" s="639"/>
      <c r="E492" s="1025"/>
      <c r="F492" s="1025"/>
      <c r="G492" s="1025"/>
      <c r="H492" s="1025"/>
    </row>
    <row r="493" spans="1:11">
      <c r="A493" s="620" t="s">
        <v>2980</v>
      </c>
      <c r="B493" s="637" t="str">
        <f>IF('Part V-Revenues &amp; Expenses'!$O$57=0,"",'Part V-Revenues &amp; Expenses'!$O$57)</f>
        <v/>
      </c>
      <c r="C493" s="620" t="s">
        <v>4083</v>
      </c>
      <c r="D493" s="638" t="s">
        <v>4084</v>
      </c>
    </row>
    <row r="494" spans="1:11" ht="1.9"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149999999999999" customHeight="1" thickBot="1">
      <c r="A500" s="4829">
        <v>80</v>
      </c>
      <c r="B500" s="4830"/>
      <c r="C500" s="1451" t="s">
        <v>975</v>
      </c>
    </row>
    <row r="501" spans="1:8" ht="9" customHeight="1">
      <c r="A501" s="611"/>
    </row>
    <row r="502" spans="1:8" ht="28.15" customHeight="1">
      <c r="A502" s="4822" t="s">
        <v>4092</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4080</v>
      </c>
      <c r="D504" s="638" t="s">
        <v>4081</v>
      </c>
    </row>
    <row r="505" spans="1:8" ht="1.9"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4085</v>
      </c>
      <c r="E508" s="4822" t="s">
        <v>3122</v>
      </c>
      <c r="F508" s="4822"/>
      <c r="G508" s="4822"/>
      <c r="H508" s="4822"/>
    </row>
    <row r="509" spans="1:8" ht="12.75" customHeight="1">
      <c r="C509" s="1450"/>
      <c r="D509" s="1448" t="s">
        <v>2984</v>
      </c>
      <c r="E509" s="4823" t="s">
        <v>3123</v>
      </c>
      <c r="F509" s="4823"/>
      <c r="G509" s="4823"/>
      <c r="H509" s="4823"/>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4085</v>
      </c>
      <c r="E513" s="4822" t="s">
        <v>3122</v>
      </c>
      <c r="F513" s="4822"/>
      <c r="G513" s="4822"/>
      <c r="H513" s="4822"/>
    </row>
    <row r="514" spans="1:8" ht="12.75" customHeight="1">
      <c r="C514" s="1450"/>
      <c r="D514" s="1448" t="s">
        <v>2984</v>
      </c>
      <c r="E514" s="4823" t="s">
        <v>3123</v>
      </c>
      <c r="F514" s="4823"/>
      <c r="G514" s="4823"/>
      <c r="H514" s="4823"/>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4085</v>
      </c>
      <c r="E518" s="4822" t="s">
        <v>3122</v>
      </c>
      <c r="F518" s="4822"/>
      <c r="G518" s="4822"/>
      <c r="H518" s="4822"/>
    </row>
    <row r="519" spans="1:8" ht="12.75" customHeight="1">
      <c r="C519" s="1450"/>
      <c r="D519" s="1448" t="s">
        <v>2984</v>
      </c>
      <c r="E519" s="4823" t="s">
        <v>3123</v>
      </c>
      <c r="F519" s="4823"/>
      <c r="G519" s="4823"/>
      <c r="H519" s="4823"/>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4085</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4085</v>
      </c>
      <c r="E530" s="4822" t="s">
        <v>3122</v>
      </c>
      <c r="F530" s="4822"/>
      <c r="G530" s="4822"/>
      <c r="H530" s="4822"/>
    </row>
    <row r="531" spans="1:8" ht="12.75" customHeight="1">
      <c r="C531" s="1450"/>
      <c r="D531" s="1448" t="s">
        <v>2984</v>
      </c>
      <c r="E531" s="4823" t="s">
        <v>3123</v>
      </c>
      <c r="F531" s="4823"/>
      <c r="G531" s="4823"/>
      <c r="H531" s="4823"/>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4085</v>
      </c>
      <c r="E535" s="4822" t="s">
        <v>3122</v>
      </c>
      <c r="F535" s="4822"/>
      <c r="G535" s="4822"/>
      <c r="H535" s="4822"/>
    </row>
    <row r="536" spans="1:8" ht="12.75" customHeight="1">
      <c r="C536" s="1450"/>
      <c r="D536" s="1448" t="s">
        <v>2984</v>
      </c>
      <c r="E536" s="4823" t="s">
        <v>3123</v>
      </c>
      <c r="F536" s="4823"/>
      <c r="G536" s="4823"/>
      <c r="H536" s="4823"/>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4085</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4085</v>
      </c>
      <c r="E547" s="4822" t="s">
        <v>3122</v>
      </c>
      <c r="F547" s="4822"/>
      <c r="G547" s="4822"/>
      <c r="H547" s="4822"/>
    </row>
    <row r="548" spans="1:8" ht="12.75" customHeight="1">
      <c r="C548" s="1450"/>
      <c r="D548" s="1448" t="s">
        <v>2984</v>
      </c>
      <c r="E548" s="4823" t="s">
        <v>3123</v>
      </c>
      <c r="F548" s="4823"/>
      <c r="G548" s="4823"/>
      <c r="H548" s="4823"/>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4085</v>
      </c>
      <c r="E552" s="4822" t="s">
        <v>3122</v>
      </c>
      <c r="F552" s="4822"/>
      <c r="G552" s="4822"/>
      <c r="H552" s="4822"/>
    </row>
    <row r="553" spans="1:8" ht="12.75" customHeight="1">
      <c r="C553" s="1450"/>
      <c r="D553" s="1448" t="s">
        <v>2984</v>
      </c>
      <c r="E553" s="4823" t="s">
        <v>3123</v>
      </c>
      <c r="F553" s="4823"/>
      <c r="G553" s="4823"/>
      <c r="H553" s="4823"/>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4085</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4085</v>
      </c>
      <c r="E564" s="4822" t="s">
        <v>3122</v>
      </c>
      <c r="F564" s="4822"/>
      <c r="G564" s="4822"/>
      <c r="H564" s="4822"/>
    </row>
    <row r="565" spans="1:11" ht="12.75" customHeight="1">
      <c r="C565" s="1450"/>
      <c r="D565" s="1448" t="s">
        <v>2984</v>
      </c>
      <c r="E565" s="4823" t="s">
        <v>3123</v>
      </c>
      <c r="F565" s="4823"/>
      <c r="G565" s="4823"/>
      <c r="H565" s="4823"/>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4085</v>
      </c>
      <c r="E569" s="4822" t="s">
        <v>3122</v>
      </c>
      <c r="F569" s="4822"/>
      <c r="G569" s="4822"/>
      <c r="H569" s="4822"/>
    </row>
    <row r="570" spans="1:11" ht="12.75" customHeight="1">
      <c r="C570" s="1450"/>
      <c r="D570" s="1448" t="s">
        <v>2984</v>
      </c>
      <c r="E570" s="4823" t="s">
        <v>3123</v>
      </c>
      <c r="F570" s="4823"/>
      <c r="G570" s="4823"/>
      <c r="H570" s="4823"/>
    </row>
    <row r="571" spans="1:11" ht="6" customHeight="1">
      <c r="D571" s="639"/>
      <c r="E571" s="1025"/>
      <c r="F571" s="1025"/>
      <c r="G571" s="1025"/>
      <c r="H571" s="1025"/>
    </row>
    <row r="572" spans="1:11">
      <c r="A572" s="620" t="s">
        <v>2980</v>
      </c>
      <c r="B572" s="637" t="str">
        <f>IF('Part V-Revenues &amp; Expenses'!$O$56=0,"",'Part V-Revenues &amp; Expenses'!$O$56)</f>
        <v/>
      </c>
      <c r="C572" s="620" t="s">
        <v>4083</v>
      </c>
      <c r="D572" s="638" t="s">
        <v>4084</v>
      </c>
    </row>
    <row r="573" spans="1:11" ht="1.9"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Richmond Summit, Augusta, Richmond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3462</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3195</v>
      </c>
      <c r="M9" s="3175"/>
      <c r="N9" s="3176"/>
      <c r="O9" s="259" t="s">
        <v>1838</v>
      </c>
      <c r="P9" s="261"/>
      <c r="Q9" s="3035"/>
      <c r="R9" s="3036"/>
      <c r="S9" s="3037"/>
      <c r="Z9" s="1706">
        <v>9</v>
      </c>
    </row>
    <row r="10" spans="1:26" s="144" customFormat="1" ht="11.25" customHeight="1">
      <c r="D10" s="260"/>
      <c r="E10" s="246" t="s">
        <v>3463</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3462</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3463</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3463</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3463</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3463</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3463</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3463</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3463</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3463</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3463</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3463</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3463</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3463</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3463</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3463</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3463</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3463</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6470</v>
      </c>
      <c r="H120" s="3041"/>
      <c r="I120" s="3042"/>
      <c r="J120" s="3043"/>
      <c r="K120" s="262" t="s">
        <v>1670</v>
      </c>
      <c r="L120" s="3041"/>
      <c r="M120" s="3091"/>
      <c r="N120" s="3092"/>
      <c r="O120" s="259" t="s">
        <v>3141</v>
      </c>
      <c r="P120" s="261"/>
      <c r="Q120" s="3093"/>
      <c r="R120" s="3094"/>
      <c r="S120" s="3095"/>
      <c r="Z120" s="1706">
        <v>120</v>
      </c>
    </row>
    <row r="121" spans="1:26" s="144" customFormat="1" ht="11.25" customHeight="1">
      <c r="C121" s="243"/>
      <c r="D121" s="260"/>
      <c r="E121" s="246" t="s">
        <v>6224</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41"/>
      <c r="I124" s="3042"/>
      <c r="J124" s="3043"/>
      <c r="K124" s="262" t="s">
        <v>1670</v>
      </c>
      <c r="L124" s="3041"/>
      <c r="M124" s="3091"/>
      <c r="N124" s="3092"/>
      <c r="O124" s="259" t="s">
        <v>3141</v>
      </c>
      <c r="P124" s="261"/>
      <c r="Q124" s="3093"/>
      <c r="R124" s="3094"/>
      <c r="S124" s="3095"/>
      <c r="Z124" s="1706">
        <v>124</v>
      </c>
    </row>
    <row r="125" spans="1:26" s="144" customFormat="1" ht="11.25" hidden="1" customHeight="1">
      <c r="C125" s="243"/>
      <c r="D125" s="260"/>
      <c r="E125" s="246" t="s">
        <v>6224</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41"/>
      <c r="I128" s="3042"/>
      <c r="J128" s="3043"/>
      <c r="K128" s="262" t="s">
        <v>1670</v>
      </c>
      <c r="L128" s="3041"/>
      <c r="M128" s="3091"/>
      <c r="N128" s="3092"/>
      <c r="O128" s="259" t="s">
        <v>3141</v>
      </c>
      <c r="P128" s="261"/>
      <c r="Q128" s="3093"/>
      <c r="R128" s="3094"/>
      <c r="S128" s="3095"/>
      <c r="Z128" s="1706">
        <v>128</v>
      </c>
    </row>
    <row r="129" spans="3:26" s="144" customFormat="1" ht="11.25" hidden="1" customHeight="1">
      <c r="C129" s="243"/>
      <c r="D129" s="260"/>
      <c r="E129" s="246" t="s">
        <v>6224</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41"/>
      <c r="I132" s="3042"/>
      <c r="J132" s="3043"/>
      <c r="K132" s="262" t="s">
        <v>1670</v>
      </c>
      <c r="L132" s="3041"/>
      <c r="M132" s="3091"/>
      <c r="N132" s="3092"/>
      <c r="O132" s="259" t="s">
        <v>3141</v>
      </c>
      <c r="P132" s="261"/>
      <c r="Q132" s="3093"/>
      <c r="R132" s="3094"/>
      <c r="S132" s="3095"/>
      <c r="Z132" s="1706">
        <v>132</v>
      </c>
    </row>
    <row r="133" spans="3:26" s="144" customFormat="1" ht="11.25" hidden="1" customHeight="1">
      <c r="C133" s="243"/>
      <c r="D133" s="260"/>
      <c r="E133" s="246" t="s">
        <v>6224</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41"/>
      <c r="I136" s="3042"/>
      <c r="J136" s="3043"/>
      <c r="K136" s="262" t="s">
        <v>1670</v>
      </c>
      <c r="L136" s="3041"/>
      <c r="M136" s="3091"/>
      <c r="N136" s="3092"/>
      <c r="O136" s="259" t="s">
        <v>3141</v>
      </c>
      <c r="P136" s="261"/>
      <c r="Q136" s="3093"/>
      <c r="R136" s="3094"/>
      <c r="S136" s="3095"/>
      <c r="Z136" s="1706">
        <v>136</v>
      </c>
    </row>
    <row r="137" spans="3:26" s="144" customFormat="1" ht="11.25" hidden="1" customHeight="1">
      <c r="C137" s="243"/>
      <c r="D137" s="260"/>
      <c r="E137" s="246" t="s">
        <v>6224</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41"/>
      <c r="I140" s="3042"/>
      <c r="J140" s="3043"/>
      <c r="K140" s="262" t="s">
        <v>1670</v>
      </c>
      <c r="L140" s="3041"/>
      <c r="M140" s="3091"/>
      <c r="N140" s="3092"/>
      <c r="O140" s="259" t="s">
        <v>3141</v>
      </c>
      <c r="P140" s="261"/>
      <c r="Q140" s="3093"/>
      <c r="R140" s="3094"/>
      <c r="S140" s="3095"/>
      <c r="Z140" s="1706">
        <v>140</v>
      </c>
    </row>
    <row r="141" spans="3:26" s="144" customFormat="1" ht="11.25" hidden="1" customHeight="1">
      <c r="C141" s="243"/>
      <c r="D141" s="260"/>
      <c r="E141" s="246" t="s">
        <v>6224</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6468</v>
      </c>
      <c r="H144" s="3041"/>
      <c r="I144" s="3042"/>
      <c r="J144" s="3043"/>
      <c r="K144" s="262" t="s">
        <v>1670</v>
      </c>
      <c r="L144" s="3041"/>
      <c r="M144" s="3091"/>
      <c r="N144" s="3092"/>
      <c r="O144" s="259" t="s">
        <v>3141</v>
      </c>
      <c r="P144" s="261"/>
      <c r="Q144" s="3093"/>
      <c r="R144" s="3094"/>
      <c r="S144" s="3095"/>
      <c r="Z144" s="1706">
        <v>144</v>
      </c>
    </row>
    <row r="145" spans="1:26" s="144" customFormat="1" ht="11.25" customHeight="1">
      <c r="C145" s="243"/>
      <c r="D145" s="260"/>
      <c r="E145" s="246" t="s">
        <v>6224</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6469</v>
      </c>
      <c r="H148" s="3041"/>
      <c r="I148" s="3042"/>
      <c r="J148" s="3043"/>
      <c r="K148" s="262" t="s">
        <v>1670</v>
      </c>
      <c r="L148" s="3041"/>
      <c r="M148" s="3091"/>
      <c r="N148" s="3092"/>
      <c r="O148" s="259" t="s">
        <v>3141</v>
      </c>
      <c r="P148" s="261"/>
      <c r="Q148" s="3093"/>
      <c r="R148" s="3094"/>
      <c r="S148" s="3095"/>
      <c r="Z148" s="1706">
        <v>148</v>
      </c>
    </row>
    <row r="149" spans="1:26" s="144" customFormat="1" ht="11.25" customHeight="1">
      <c r="D149" s="260"/>
      <c r="E149" s="246" t="s">
        <v>6224</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3882</v>
      </c>
      <c r="H152" s="480"/>
      <c r="I152" s="480"/>
      <c r="J152" s="480"/>
      <c r="K152" s="480"/>
      <c r="L152" s="480"/>
      <c r="M152" s="480"/>
      <c r="N152" s="480"/>
      <c r="O152" s="480"/>
      <c r="P152" s="480"/>
      <c r="Q152" s="480"/>
      <c r="R152" s="480"/>
      <c r="S152" s="480"/>
      <c r="Z152" s="1706">
        <v>152</v>
      </c>
    </row>
    <row r="153" spans="1:26" ht="13.5" thickBot="1">
      <c r="A153" s="3096" t="s">
        <v>3298</v>
      </c>
      <c r="B153" s="3096"/>
      <c r="C153" s="3096"/>
      <c r="D153" s="3096"/>
      <c r="E153" s="3096"/>
      <c r="H153" s="1263" t="s">
        <v>2308</v>
      </c>
      <c r="I153" s="3073" t="s">
        <v>6518</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3840</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6222</v>
      </c>
      <c r="E155" s="256"/>
      <c r="H155" s="1216" t="s">
        <v>3840</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3840</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3840</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3840</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3840</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3840</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3891</v>
      </c>
      <c r="E161" s="256"/>
      <c r="H161" s="1216" t="s">
        <v>3840</v>
      </c>
      <c r="I161" s="3179"/>
      <c r="J161" s="3108"/>
      <c r="K161" s="3108"/>
      <c r="L161" s="3108"/>
      <c r="M161" s="3108"/>
      <c r="N161" s="3108"/>
      <c r="O161" s="3108"/>
      <c r="P161" s="3108"/>
      <c r="Q161" s="3108"/>
      <c r="R161" s="3108"/>
      <c r="S161" s="3110"/>
      <c r="Z161" s="1706">
        <v>161</v>
      </c>
    </row>
    <row r="162" spans="1:26" s="144" customFormat="1" ht="15" customHeight="1" thickBot="1">
      <c r="B162" s="476" t="s">
        <v>3890</v>
      </c>
      <c r="C162" s="3076" t="s">
        <v>6475</v>
      </c>
      <c r="D162" s="3077"/>
      <c r="E162" s="3077"/>
      <c r="F162" s="3077"/>
      <c r="G162" s="3078"/>
      <c r="H162" s="1216" t="s">
        <v>3840</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3883</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6476</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3218</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3840</v>
      </c>
      <c r="J171" s="477" t="s">
        <v>3840</v>
      </c>
      <c r="K171" s="477"/>
      <c r="L171" s="649"/>
      <c r="M171" s="482" t="s">
        <v>3840</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3840</v>
      </c>
      <c r="J172" s="478" t="s">
        <v>3840</v>
      </c>
      <c r="K172" s="478"/>
      <c r="L172" s="650"/>
      <c r="M172" s="483" t="s">
        <v>3840</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3840</v>
      </c>
      <c r="J173" s="478" t="s">
        <v>3840</v>
      </c>
      <c r="K173" s="478"/>
      <c r="L173" s="650"/>
      <c r="M173" s="483" t="s">
        <v>3840</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3840</v>
      </c>
      <c r="J174" s="478" t="s">
        <v>3840</v>
      </c>
      <c r="K174" s="478"/>
      <c r="L174" s="650"/>
      <c r="M174" s="483" t="s">
        <v>3840</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3840</v>
      </c>
      <c r="J175" s="478" t="s">
        <v>3840</v>
      </c>
      <c r="K175" s="478"/>
      <c r="L175" s="650"/>
      <c r="M175" s="483" t="s">
        <v>3840</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3840</v>
      </c>
      <c r="J176" s="478" t="s">
        <v>3840</v>
      </c>
      <c r="K176" s="478"/>
      <c r="L176" s="650"/>
      <c r="M176" s="483" t="s">
        <v>3840</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3840</v>
      </c>
      <c r="J177" s="478" t="s">
        <v>3840</v>
      </c>
      <c r="K177" s="478"/>
      <c r="L177" s="650"/>
      <c r="M177" s="483" t="s">
        <v>3840</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3840</v>
      </c>
      <c r="J178" s="478" t="s">
        <v>3840</v>
      </c>
      <c r="K178" s="478"/>
      <c r="L178" s="650"/>
      <c r="M178" s="483" t="s">
        <v>3840</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3840</v>
      </c>
      <c r="J179" s="478" t="s">
        <v>3840</v>
      </c>
      <c r="K179" s="478"/>
      <c r="L179" s="650"/>
      <c r="M179" s="483" t="s">
        <v>3840</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3840</v>
      </c>
      <c r="J180" s="478" t="s">
        <v>3840</v>
      </c>
      <c r="K180" s="478"/>
      <c r="L180" s="650"/>
      <c r="M180" s="483" t="s">
        <v>3840</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3840</v>
      </c>
      <c r="J181" s="478" t="s">
        <v>3840</v>
      </c>
      <c r="K181" s="478"/>
      <c r="L181" s="650"/>
      <c r="M181" s="483" t="s">
        <v>3840</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3840</v>
      </c>
      <c r="J182" s="478" t="s">
        <v>3840</v>
      </c>
      <c r="K182" s="478"/>
      <c r="L182" s="650"/>
      <c r="M182" s="483" t="s">
        <v>3840</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3840</v>
      </c>
      <c r="J183" s="479" t="s">
        <v>3840</v>
      </c>
      <c r="K183" s="479"/>
      <c r="L183" s="651"/>
      <c r="M183" s="484" t="s">
        <v>3840</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Richmond Summit</v>
      </c>
    </row>
    <row r="2" spans="1:14">
      <c r="A2" s="560" t="s">
        <v>2882</v>
      </c>
      <c r="H2" s="432" t="str">
        <f>'Sensitivity Analysis'!E8</f>
        <v>2023-0</v>
      </c>
    </row>
    <row r="3" spans="1:14" ht="3" customHeight="1"/>
    <row r="4" spans="1:14" ht="69.599999999999994" customHeight="1">
      <c r="A4" s="4824" t="s">
        <v>2978</v>
      </c>
      <c r="B4" s="4824"/>
      <c r="C4" s="4824"/>
      <c r="D4" s="4824"/>
      <c r="E4" s="4824"/>
      <c r="F4" s="4824"/>
      <c r="G4" s="4824"/>
      <c r="H4" s="4824"/>
      <c r="I4" s="4824"/>
      <c r="J4" s="4824"/>
      <c r="K4" s="4824"/>
      <c r="L4" s="4831">
        <f>SUM('Part VI-Pro Forma'!B15:B17)/12</f>
        <v>137413.88999999998</v>
      </c>
      <c r="M4" s="4831"/>
      <c r="N4" s="1493" t="s">
        <v>3665</v>
      </c>
    </row>
    <row r="5" spans="1:14" ht="1.5" customHeight="1"/>
    <row r="6" spans="1:14" ht="12.75" customHeight="1">
      <c r="B6" s="635" t="s">
        <v>2240</v>
      </c>
      <c r="C6" s="617" t="s">
        <v>2883</v>
      </c>
      <c r="D6" s="617"/>
      <c r="E6" s="617"/>
      <c r="F6" s="617"/>
      <c r="G6" s="617"/>
      <c r="H6" s="617"/>
    </row>
    <row r="7" spans="1:14" ht="12.75" customHeight="1">
      <c r="B7" s="635" t="s">
        <v>2241</v>
      </c>
      <c r="C7" s="4824" t="s">
        <v>2884</v>
      </c>
      <c r="D7" s="4824"/>
      <c r="E7" s="4824"/>
      <c r="F7" s="4824"/>
      <c r="G7" s="4824"/>
      <c r="H7" s="4824"/>
      <c r="I7" s="4824"/>
      <c r="J7" s="4824"/>
      <c r="K7" s="4824"/>
      <c r="L7" s="4824"/>
      <c r="M7" s="4824"/>
    </row>
    <row r="8" spans="1:14" ht="3" customHeight="1"/>
    <row r="9" spans="1:14">
      <c r="A9" s="432" t="s">
        <v>2885</v>
      </c>
    </row>
    <row r="10" spans="1:14" ht="1.5" customHeight="1"/>
    <row r="11" spans="1:14" ht="26.25" customHeight="1">
      <c r="A11" s="636" t="s">
        <v>1841</v>
      </c>
      <c r="B11" s="4824" t="s">
        <v>2975</v>
      </c>
      <c r="C11" s="4824"/>
      <c r="D11" s="4824"/>
      <c r="E11" s="4824"/>
      <c r="F11" s="4824"/>
      <c r="G11" s="4824"/>
      <c r="H11" s="4824"/>
      <c r="I11" s="4824"/>
      <c r="J11" s="4824"/>
      <c r="K11" s="4824"/>
      <c r="L11" s="4825">
        <f>'Part II-Sources of Funds'!I51+'Part II-Sources of Funds'!I52</f>
        <v>17236276.230611015</v>
      </c>
      <c r="M11" s="4825"/>
    </row>
    <row r="12" spans="1:14" ht="1.5" customHeight="1">
      <c r="G12" s="617"/>
      <c r="H12" s="617"/>
    </row>
    <row r="13" spans="1:14" ht="25.9" customHeight="1">
      <c r="A13" s="636" t="s">
        <v>1843</v>
      </c>
      <c r="B13" s="4824" t="s">
        <v>2976</v>
      </c>
      <c r="C13" s="4824"/>
      <c r="D13" s="4824"/>
      <c r="E13" s="4824"/>
      <c r="F13" s="4824"/>
      <c r="G13" s="4824"/>
      <c r="H13" s="4824"/>
      <c r="I13" s="4824"/>
      <c r="J13" s="4824"/>
      <c r="K13" s="4824"/>
      <c r="L13" s="4826" t="s">
        <v>2813</v>
      </c>
      <c r="M13" s="4826"/>
    </row>
    <row r="14" spans="1:14">
      <c r="A14" s="636"/>
      <c r="B14" s="4790"/>
      <c r="C14" s="4790"/>
      <c r="D14" s="4790"/>
      <c r="E14" s="4790"/>
      <c r="F14" s="4790"/>
      <c r="G14" s="4790"/>
      <c r="H14" s="4790"/>
    </row>
    <row r="15" spans="1:14" ht="3" customHeight="1"/>
    <row r="16" spans="1:14">
      <c r="A16" s="636" t="s">
        <v>698</v>
      </c>
      <c r="B16" s="432" t="s">
        <v>2979</v>
      </c>
      <c r="L16" s="4827" t="s">
        <v>2652</v>
      </c>
      <c r="M16" s="4827"/>
    </row>
    <row r="17" spans="1:19" ht="1.5" customHeight="1">
      <c r="L17" s="620"/>
    </row>
    <row r="18" spans="1:19" ht="12" customHeight="1">
      <c r="A18" s="636" t="s">
        <v>1962</v>
      </c>
      <c r="B18" s="617" t="s">
        <v>2977</v>
      </c>
      <c r="C18" s="636"/>
      <c r="D18" s="636"/>
      <c r="E18" s="636"/>
      <c r="L18" s="4790" t="s">
        <v>2514</v>
      </c>
      <c r="M18" s="4790"/>
    </row>
    <row r="19" spans="1:19" ht="12" hidden="1" customHeight="1">
      <c r="B19" s="4790"/>
      <c r="C19" s="4790"/>
      <c r="D19" s="4790"/>
      <c r="E19" s="4790"/>
      <c r="F19" s="4790"/>
      <c r="G19" s="4790"/>
      <c r="H19" s="4790"/>
    </row>
    <row r="20" spans="1:19" ht="13.5" customHeight="1"/>
    <row r="21" spans="1:19" ht="12" customHeight="1">
      <c r="A21" s="560" t="s">
        <v>2886</v>
      </c>
    </row>
    <row r="22" spans="1:19" ht="3" customHeight="1"/>
    <row r="23" spans="1:19" ht="42.6" customHeight="1">
      <c r="A23" s="4828" t="s">
        <v>4082</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129</v>
      </c>
      <c r="G27" s="1585">
        <f>'Part V-Revenues &amp; Expenses'!M58</f>
        <v>6</v>
      </c>
      <c r="H27" s="1585">
        <f>'Part V-Revenues &amp; Expenses'!N58</f>
        <v>0</v>
      </c>
      <c r="I27" s="1585">
        <f>'Part V-Revenues &amp; Expenses'!O58</f>
        <v>0</v>
      </c>
      <c r="J27" s="1586">
        <f>'Part V-Revenues &amp; Expenses'!P58</f>
        <v>135</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129</v>
      </c>
      <c r="G32" s="1579">
        <f>'Part V-Revenues &amp; Expenses'!M63</f>
        <v>6</v>
      </c>
      <c r="H32" s="1579">
        <f>'Part V-Revenues &amp; Expenses'!N63</f>
        <v>0</v>
      </c>
      <c r="I32" s="1579">
        <f>'Part V-Revenues &amp; Expenses'!O63</f>
        <v>0</v>
      </c>
      <c r="J32" s="1588">
        <f>'Part V-Revenues &amp; Expenses'!P63</f>
        <v>135</v>
      </c>
      <c r="K32" s="432"/>
      <c r="S32" s="432"/>
    </row>
    <row r="33" spans="1:12" s="432" customFormat="1" ht="13.15" customHeight="1" thickBot="1">
      <c r="K33" s="1492"/>
    </row>
    <row r="34" spans="1:12" s="432" customFormat="1" ht="14.25" customHeight="1" thickBot="1">
      <c r="A34" s="1492"/>
      <c r="B34" s="4838" t="s">
        <v>6173</v>
      </c>
      <c r="E34" s="4839" t="s">
        <v>6069</v>
      </c>
      <c r="F34" s="4840"/>
      <c r="G34" s="4840"/>
      <c r="H34" s="4840"/>
      <c r="I34" s="4840"/>
      <c r="J34" s="4840"/>
      <c r="K34" s="4840"/>
      <c r="L34" s="4841"/>
    </row>
    <row r="35" spans="1:12" s="432" customFormat="1" ht="14.25" customHeight="1">
      <c r="A35" s="1492"/>
      <c r="B35" s="4838"/>
      <c r="C35" s="4842" t="s">
        <v>6174</v>
      </c>
      <c r="D35" s="4838" t="s">
        <v>6175</v>
      </c>
      <c r="E35" s="4843" t="s">
        <v>6072</v>
      </c>
      <c r="F35" s="4844"/>
      <c r="G35" s="4847" t="s">
        <v>1275</v>
      </c>
      <c r="H35" s="4849" t="s">
        <v>6068</v>
      </c>
      <c r="I35" s="4850"/>
      <c r="J35" s="4850"/>
      <c r="K35" s="4850"/>
      <c r="L35" s="4851"/>
    </row>
    <row r="36" spans="1:12" s="432" customFormat="1" ht="23.25" customHeight="1">
      <c r="A36" s="4842" t="s">
        <v>975</v>
      </c>
      <c r="B36" s="4838"/>
      <c r="C36" s="4842"/>
      <c r="D36" s="4838"/>
      <c r="E36" s="4845"/>
      <c r="F36" s="4846"/>
      <c r="G36" s="4848"/>
      <c r="H36" s="4852" t="s">
        <v>6070</v>
      </c>
      <c r="I36" s="4853"/>
      <c r="J36" s="4856" t="s">
        <v>1275</v>
      </c>
      <c r="K36" s="4853" t="s">
        <v>6071</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15" customHeight="1">
      <c r="A39" s="1571">
        <f>'Part V-Revenues &amp; Expenses'!B18</f>
        <v>60</v>
      </c>
      <c r="B39" s="1572">
        <f>'Part V-Revenues &amp; Expenses'!E18</f>
        <v>129</v>
      </c>
      <c r="C39" s="1573" t="str">
        <f>_xlfn.CONCAT('Part V-Revenues &amp; Expenses'!C18," / ",'Part V-Revenues &amp; Expenses'!D18)</f>
        <v>1 / 1</v>
      </c>
      <c r="D39" s="1572">
        <f>'Part V-Revenues &amp; Expenses'!F18</f>
        <v>607</v>
      </c>
      <c r="E39" s="4836">
        <f>'Part V-Revenues &amp; Expenses'!H18</f>
        <v>1040</v>
      </c>
      <c r="F39" s="4837"/>
      <c r="G39" s="439"/>
      <c r="H39" s="4863"/>
      <c r="I39" s="4864"/>
      <c r="J39" s="4864"/>
      <c r="K39" s="4864"/>
      <c r="L39" s="4865"/>
    </row>
    <row r="40" spans="1:12" s="432" customFormat="1" ht="13.15" customHeight="1">
      <c r="A40" s="1574">
        <f>'Part V-Revenues &amp; Expenses'!B19</f>
        <v>60</v>
      </c>
      <c r="B40" s="1575">
        <f>'Part V-Revenues &amp; Expenses'!E19</f>
        <v>6</v>
      </c>
      <c r="C40" s="1576" t="str">
        <f>_xlfn.CONCAT('Part V-Revenues &amp; Expenses'!C19," / ",'Part V-Revenues &amp; Expenses'!D19)</f>
        <v>2 / 1</v>
      </c>
      <c r="D40" s="1575">
        <f>'Part V-Revenues &amp; Expenses'!F19</f>
        <v>926</v>
      </c>
      <c r="E40" s="4834">
        <f>'Part V-Revenues &amp; Expenses'!H19</f>
        <v>1275</v>
      </c>
      <c r="F40" s="4835"/>
      <c r="G40" s="439"/>
      <c r="H40" s="4860"/>
      <c r="I40" s="4861"/>
      <c r="J40" s="4861"/>
      <c r="K40" s="4861"/>
      <c r="L40" s="4862"/>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34">
        <f>'Part V-Revenues &amp; Expenses'!H20</f>
        <v>0</v>
      </c>
      <c r="F41" s="4835"/>
      <c r="G41" s="439"/>
      <c r="H41" s="4860"/>
      <c r="I41" s="4861"/>
      <c r="J41" s="4861"/>
      <c r="K41" s="4861"/>
      <c r="L41" s="4862"/>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60"/>
      <c r="I42" s="4861"/>
      <c r="J42" s="4861"/>
      <c r="K42" s="4861"/>
      <c r="L42" s="4862"/>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60"/>
      <c r="I43" s="4861"/>
      <c r="J43" s="4861"/>
      <c r="K43" s="4861"/>
      <c r="L43" s="4862"/>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60"/>
      <c r="I44" s="4861"/>
      <c r="J44" s="4861"/>
      <c r="K44" s="4861"/>
      <c r="L44" s="4862"/>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60"/>
      <c r="I45" s="4861"/>
      <c r="J45" s="4861"/>
      <c r="K45" s="4861"/>
      <c r="L45" s="486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60"/>
      <c r="I46" s="4861"/>
      <c r="J46" s="4861"/>
      <c r="K46" s="4861"/>
      <c r="L46" s="486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60"/>
      <c r="I47" s="4861"/>
      <c r="J47" s="4861"/>
      <c r="K47" s="4861"/>
      <c r="L47" s="486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2" t="s">
        <v>3481</v>
      </c>
      <c r="C1" s="4732"/>
      <c r="D1" s="4732"/>
      <c r="E1" s="4732"/>
      <c r="F1" s="4732"/>
      <c r="G1" s="4732"/>
      <c r="H1" s="4732"/>
      <c r="I1" s="4732"/>
    </row>
    <row r="2" spans="2:13" ht="15">
      <c r="B2" s="1040" t="s">
        <v>3469</v>
      </c>
      <c r="C2" s="616"/>
      <c r="D2" s="616"/>
      <c r="E2" s="616"/>
      <c r="F2" s="616"/>
      <c r="G2" s="616"/>
      <c r="H2" s="616"/>
      <c r="I2" s="616"/>
    </row>
    <row r="3" spans="2:13" ht="14.25">
      <c r="B3" s="1041" t="s">
        <v>3476</v>
      </c>
      <c r="C3" s="616"/>
      <c r="D3" s="616"/>
      <c r="E3" s="616"/>
      <c r="F3" s="616"/>
      <c r="G3" s="616"/>
      <c r="H3" s="616"/>
      <c r="I3" s="616"/>
    </row>
    <row r="4" spans="2:13">
      <c r="B4" s="4882" t="s">
        <v>2889</v>
      </c>
      <c r="C4" s="4882"/>
      <c r="D4" s="4882"/>
      <c r="E4" s="4888" t="s">
        <v>2890</v>
      </c>
      <c r="F4" s="4890"/>
      <c r="G4" s="4888" t="s">
        <v>574</v>
      </c>
      <c r="H4" s="4889"/>
      <c r="I4" s="4890"/>
      <c r="J4" s="1036" t="s">
        <v>2738</v>
      </c>
      <c r="K4" s="1036"/>
      <c r="L4" s="1036"/>
      <c r="M4" s="1036"/>
    </row>
    <row r="5" spans="2:13">
      <c r="B5" s="4883">
        <f>'Closing term sheet'!C8</f>
        <v>0</v>
      </c>
      <c r="C5" s="4884"/>
      <c r="D5" s="4884"/>
      <c r="E5" s="4894"/>
      <c r="F5" s="4895"/>
      <c r="G5" s="4891" t="str">
        <f>'Closing term sheet'!C28</f>
        <v>Richmond Summit</v>
      </c>
      <c r="H5" s="4892"/>
      <c r="I5" s="4893"/>
    </row>
    <row r="6" spans="2:13" ht="4.5" customHeight="1">
      <c r="D6" s="1042"/>
      <c r="E6" s="1042"/>
      <c r="F6" s="1042"/>
      <c r="G6" s="1042"/>
      <c r="H6" s="1042"/>
      <c r="I6" s="1042"/>
    </row>
    <row r="7" spans="2:13">
      <c r="B7" s="4885" t="s">
        <v>2891</v>
      </c>
      <c r="C7" s="4885"/>
      <c r="H7" s="4886">
        <f>'Preview term'!E9</f>
        <v>0</v>
      </c>
      <c r="I7" s="4887"/>
    </row>
    <row r="8" spans="2:13" ht="4.5" customHeight="1"/>
    <row r="9" spans="2:13">
      <c r="B9" s="432" t="s">
        <v>2892</v>
      </c>
      <c r="E9" s="560" t="s">
        <v>3471</v>
      </c>
      <c r="I9" s="1043" t="str">
        <f>'Closing term sheet'!D12</f>
        <v>&lt;&lt;Select&gt;&gt;</v>
      </c>
    </row>
    <row r="10" spans="2:13" ht="7.5" customHeight="1"/>
    <row r="11" spans="2:13" ht="14.25">
      <c r="B11" s="605" t="s">
        <v>3468</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3472</v>
      </c>
      <c r="E16" s="523" t="s">
        <v>3057</v>
      </c>
      <c r="I16" s="1050"/>
    </row>
    <row r="17" spans="2:9" ht="7.5" customHeight="1">
      <c r="B17" s="1047"/>
      <c r="I17" s="1049"/>
    </row>
    <row r="18" spans="2:9">
      <c r="B18" s="1047" t="s">
        <v>2895</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24" t="s">
        <v>3489</v>
      </c>
      <c r="I35" s="4869"/>
    </row>
    <row r="36" spans="2:9">
      <c r="B36" s="1059" t="s">
        <v>3488</v>
      </c>
      <c r="C36" s="523"/>
      <c r="D36" s="523"/>
      <c r="F36" s="1258"/>
      <c r="G36" s="617"/>
      <c r="H36" s="4824"/>
      <c r="I36" s="4869"/>
    </row>
    <row r="37" spans="2:9">
      <c r="B37" s="1059" t="s">
        <v>3486</v>
      </c>
      <c r="D37" s="523"/>
      <c r="F37" s="1259"/>
      <c r="G37" s="617"/>
      <c r="H37" s="4824"/>
      <c r="I37" s="4869"/>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2904</v>
      </c>
      <c r="C48" s="523"/>
      <c r="D48" s="523" t="s">
        <v>2905</v>
      </c>
      <c r="F48" s="4876">
        <f>'Closing term sheet'!$C$30</f>
        <v>0</v>
      </c>
      <c r="G48" s="4877"/>
      <c r="H48" s="4877"/>
      <c r="I48" s="4878"/>
    </row>
    <row r="49" spans="2:9">
      <c r="B49" s="1051" t="s">
        <v>2906</v>
      </c>
      <c r="D49" s="523" t="s">
        <v>2907</v>
      </c>
      <c r="F49" s="4879"/>
      <c r="G49" s="4880"/>
      <c r="H49" s="4880"/>
      <c r="I49" s="4881"/>
    </row>
    <row r="50" spans="2:9">
      <c r="B50" s="1051" t="s">
        <v>2908</v>
      </c>
      <c r="F50" s="1042"/>
      <c r="G50" s="1042"/>
      <c r="H50" s="1042"/>
      <c r="I50" s="1065"/>
    </row>
    <row r="51" spans="2:9" ht="7.5" customHeight="1">
      <c r="B51" s="1047"/>
      <c r="I51" s="1049"/>
    </row>
    <row r="52" spans="2:9">
      <c r="B52" s="1066" t="s">
        <v>3491</v>
      </c>
      <c r="C52" s="4898" t="str">
        <f>'Part I-Project Identification'!F26</f>
        <v>Augusta</v>
      </c>
      <c r="D52" s="4899"/>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2909</v>
      </c>
      <c r="I55" s="1049"/>
    </row>
    <row r="56" spans="2:9">
      <c r="B56" s="1061" t="s">
        <v>3659</v>
      </c>
      <c r="D56" s="1069">
        <f>'Closing term sheet'!$D$63</f>
        <v>24350000</v>
      </c>
      <c r="E56" s="1070"/>
      <c r="F56" s="560" t="s">
        <v>2910</v>
      </c>
      <c r="I56" s="1049"/>
    </row>
    <row r="57" spans="2:9">
      <c r="B57" s="1059" t="s">
        <v>3658</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2912</v>
      </c>
      <c r="C61" s="4776"/>
      <c r="D61" s="4776"/>
      <c r="E61" s="4776"/>
      <c r="F61" s="4776"/>
      <c r="G61" s="4776"/>
      <c r="H61" s="4776"/>
      <c r="I61" s="4903"/>
    </row>
    <row r="62" spans="2:9" ht="7.5" customHeight="1">
      <c r="B62" s="4900"/>
      <c r="C62" s="4775"/>
      <c r="D62" s="4775"/>
      <c r="G62" s="1072"/>
      <c r="I62" s="1049"/>
    </row>
    <row r="63" spans="2:9">
      <c r="B63" s="1066" t="s">
        <v>2914</v>
      </c>
      <c r="D63" s="1058">
        <v>4</v>
      </c>
      <c r="G63" s="4885" t="s">
        <v>2913</v>
      </c>
      <c r="H63" s="4885"/>
      <c r="I63" s="4901"/>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2925</v>
      </c>
      <c r="C81" s="4776"/>
      <c r="D81" s="4776"/>
      <c r="E81" s="4776"/>
      <c r="F81" s="4776"/>
      <c r="G81" s="4776"/>
      <c r="H81" s="4776"/>
      <c r="I81" s="4903"/>
    </row>
    <row r="82" spans="2:9">
      <c r="B82" s="1047"/>
      <c r="I82" s="1049"/>
    </row>
    <row r="83" spans="2:9">
      <c r="B83" s="1047" t="s">
        <v>2926</v>
      </c>
      <c r="I83" s="1049"/>
    </row>
    <row r="84" spans="2:9">
      <c r="B84" s="1047"/>
      <c r="C84" s="432" t="s">
        <v>2927</v>
      </c>
      <c r="F84" s="4873">
        <f>'Closing term sheet'!D63</f>
        <v>24350000</v>
      </c>
      <c r="G84" s="4873"/>
      <c r="I84" s="1049"/>
    </row>
    <row r="85" spans="2:9">
      <c r="B85" s="1047"/>
      <c r="C85" s="432" t="s">
        <v>2928</v>
      </c>
      <c r="F85" s="4897">
        <f>'Part II-Sources of Funds'!I47+'Part II-Sources of Funds'!L47</f>
        <v>589852.24691993743</v>
      </c>
      <c r="G85" s="4897"/>
      <c r="I85" s="1049"/>
    </row>
    <row r="86" spans="2:9">
      <c r="B86" s="1047"/>
      <c r="C86" s="432" t="s">
        <v>2929</v>
      </c>
      <c r="F86" s="4896"/>
      <c r="G86" s="4896"/>
      <c r="I86" s="1049"/>
    </row>
    <row r="87" spans="2:9">
      <c r="B87" s="1047"/>
      <c r="C87" s="523" t="s">
        <v>2930</v>
      </c>
      <c r="F87" s="4897">
        <v>11000</v>
      </c>
      <c r="G87" s="4897"/>
      <c r="I87" s="1049"/>
    </row>
    <row r="88" spans="2:9">
      <c r="B88" s="1047"/>
      <c r="C88" s="432" t="s">
        <v>2931</v>
      </c>
      <c r="F88" s="4875"/>
      <c r="G88" s="4875"/>
      <c r="I88" s="1049"/>
    </row>
    <row r="89" spans="2:9">
      <c r="B89" s="1047"/>
      <c r="C89" s="560" t="s">
        <v>2932</v>
      </c>
      <c r="F89" s="4871">
        <f>SUM(F84:G88)</f>
        <v>24950852.246919937</v>
      </c>
      <c r="G89" s="4871"/>
      <c r="I89" s="1049"/>
    </row>
    <row r="90" spans="2:9">
      <c r="B90" s="1047"/>
      <c r="F90" s="4872"/>
      <c r="G90" s="4872"/>
      <c r="I90" s="1049"/>
    </row>
    <row r="91" spans="2:9">
      <c r="B91" s="1047" t="s">
        <v>2933</v>
      </c>
      <c r="I91" s="1049"/>
    </row>
    <row r="92" spans="2:9">
      <c r="B92" s="1047"/>
      <c r="C92" s="432" t="s">
        <v>2934</v>
      </c>
      <c r="F92" s="4873"/>
      <c r="G92" s="4873"/>
      <c r="I92" s="1049"/>
    </row>
    <row r="93" spans="2:9">
      <c r="B93" s="1047"/>
      <c r="C93" s="432" t="s">
        <v>2935</v>
      </c>
      <c r="F93" s="4874"/>
      <c r="G93" s="4874"/>
      <c r="I93" s="1049"/>
    </row>
    <row r="94" spans="2:9">
      <c r="B94" s="1047"/>
      <c r="C94" s="432" t="s">
        <v>2936</v>
      </c>
      <c r="F94" s="4870" t="s">
        <v>2813</v>
      </c>
      <c r="G94" s="4870"/>
      <c r="I94" s="1049"/>
    </row>
    <row r="95" spans="2:9">
      <c r="B95" s="1047"/>
      <c r="C95" s="560" t="s">
        <v>2937</v>
      </c>
      <c r="F95" s="4871">
        <f>+SUM(F92:G94)</f>
        <v>0</v>
      </c>
      <c r="G95" s="4871"/>
      <c r="I95" s="1049"/>
    </row>
    <row r="96" spans="2:9">
      <c r="B96" s="1047"/>
      <c r="I96" s="1049"/>
    </row>
    <row r="97" spans="2:9">
      <c r="B97" s="1047" t="s">
        <v>2938</v>
      </c>
      <c r="I97" s="1049"/>
    </row>
    <row r="98" spans="2:9">
      <c r="B98" s="1047"/>
      <c r="C98" s="432" t="s">
        <v>2939</v>
      </c>
      <c r="F98" s="4873"/>
      <c r="G98" s="4873"/>
      <c r="I98" s="1049"/>
    </row>
    <row r="99" spans="2:9">
      <c r="B99" s="1047"/>
      <c r="C99" s="432" t="s">
        <v>2940</v>
      </c>
      <c r="F99" s="4874"/>
      <c r="G99" s="4874"/>
      <c r="I99" s="1049"/>
    </row>
    <row r="100" spans="2:9">
      <c r="B100" s="1047"/>
      <c r="C100" s="432" t="s">
        <v>2941</v>
      </c>
      <c r="F100" s="4875"/>
      <c r="G100" s="4875"/>
      <c r="I100" s="1049"/>
    </row>
    <row r="101" spans="2:9">
      <c r="B101" s="1047"/>
      <c r="C101" s="560" t="s">
        <v>2942</v>
      </c>
      <c r="F101" s="4871">
        <f>+SUM(F98:G100)</f>
        <v>0</v>
      </c>
      <c r="G101" s="4871"/>
      <c r="I101" s="1049"/>
    </row>
    <row r="102" spans="2:9">
      <c r="B102" s="1047"/>
      <c r="I102" s="1049"/>
    </row>
    <row r="103" spans="2:9">
      <c r="B103" s="1066" t="s">
        <v>2943</v>
      </c>
      <c r="F103" s="4870">
        <f>'Part II-Sources of Funds'!I48+'Part II-Sources of Funds'!I49</f>
        <v>0</v>
      </c>
      <c r="G103" s="4870"/>
      <c r="I103" s="1049"/>
    </row>
    <row r="104" spans="2:9">
      <c r="B104" s="1047"/>
      <c r="I104" s="1076" t="s">
        <v>2944</v>
      </c>
    </row>
    <row r="105" spans="2:9">
      <c r="B105" s="1047" t="s">
        <v>2945</v>
      </c>
      <c r="F105" s="4870">
        <f>+F103+F101+F95+F89</f>
        <v>24950852.246919937</v>
      </c>
      <c r="G105" s="4870"/>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59" t="s">
        <v>6619</v>
      </c>
      <c r="R11" s="4959"/>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3142</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6" t="s">
        <v>3909</v>
      </c>
      <c r="R13" s="4966"/>
      <c r="S13" s="144"/>
      <c r="T13" s="144"/>
      <c r="U13" s="144"/>
      <c r="AA13" s="68"/>
      <c r="AB13" s="68"/>
    </row>
    <row r="14" spans="1:28" s="145" customFormat="1" ht="12.75" hidden="1" customHeight="1">
      <c r="A14" s="147"/>
      <c r="B14" s="147"/>
      <c r="C14" s="147"/>
      <c r="K14" s="236" t="s">
        <v>3910</v>
      </c>
      <c r="L14" s="236"/>
      <c r="N14" s="234"/>
      <c r="O14" s="147"/>
      <c r="P14" s="144"/>
      <c r="Q14" s="4964">
        <v>0.2</v>
      </c>
      <c r="R14" s="4965"/>
      <c r="S14" s="144"/>
      <c r="T14" s="144"/>
      <c r="U14" s="144"/>
      <c r="AA14" s="68"/>
      <c r="AB14" s="68"/>
    </row>
    <row r="15" spans="1:28" s="145" customFormat="1" ht="12.75" hidden="1" customHeight="1">
      <c r="A15" s="147"/>
      <c r="B15" s="147"/>
      <c r="C15" s="147"/>
      <c r="K15" s="236" t="s">
        <v>3911</v>
      </c>
      <c r="L15" s="236"/>
      <c r="N15" s="234"/>
      <c r="O15" s="147"/>
      <c r="P15" s="144"/>
      <c r="Q15" s="4962">
        <v>0.15</v>
      </c>
      <c r="R15" s="4963"/>
      <c r="S15" s="144"/>
      <c r="T15" s="144"/>
      <c r="U15" s="144"/>
      <c r="AA15" s="68"/>
      <c r="AB15" s="68"/>
    </row>
    <row r="16" spans="1:28" s="145" customFormat="1" ht="12.75" hidden="1" customHeight="1">
      <c r="A16" s="147"/>
      <c r="B16" s="147"/>
      <c r="C16" s="147"/>
      <c r="K16" s="236" t="s">
        <v>3912</v>
      </c>
      <c r="L16" s="236"/>
      <c r="N16" s="234"/>
      <c r="O16" s="147"/>
      <c r="P16" s="144"/>
      <c r="Q16" s="4962">
        <v>0.15</v>
      </c>
      <c r="R16" s="4963"/>
      <c r="S16" s="144"/>
      <c r="T16" s="144"/>
      <c r="U16" s="144"/>
      <c r="AA16" s="68"/>
      <c r="AB16" s="68"/>
    </row>
    <row r="17" spans="1:28" s="145" customFormat="1" ht="12.75" hidden="1" customHeight="1">
      <c r="A17" s="147"/>
      <c r="B17" s="147"/>
      <c r="C17" s="147"/>
      <c r="K17" s="236" t="s">
        <v>3913</v>
      </c>
      <c r="L17" s="236"/>
      <c r="N17" s="234"/>
      <c r="O17" s="147"/>
      <c r="P17" s="144"/>
      <c r="Q17" s="4962">
        <v>0.1</v>
      </c>
      <c r="R17" s="4963"/>
      <c r="S17" s="144"/>
      <c r="T17" s="144"/>
      <c r="U17" s="144"/>
      <c r="AA17" s="68"/>
      <c r="AB17" s="68"/>
    </row>
    <row r="18" spans="1:28" s="145" customFormat="1" ht="12.75" hidden="1" customHeight="1">
      <c r="A18" s="147"/>
      <c r="B18" s="147"/>
      <c r="C18" s="147"/>
      <c r="K18" s="236" t="s">
        <v>3914</v>
      </c>
      <c r="L18" s="236"/>
      <c r="N18" s="234"/>
      <c r="O18" s="147"/>
      <c r="P18" s="144"/>
      <c r="Q18" s="4960">
        <v>0.1</v>
      </c>
      <c r="R18" s="496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3083</v>
      </c>
      <c r="G42" s="147"/>
      <c r="H42" s="144"/>
      <c r="I42" s="144"/>
      <c r="J42" s="147" t="s">
        <v>1126</v>
      </c>
      <c r="K42" s="147"/>
      <c r="L42" s="147"/>
      <c r="M42" s="147"/>
      <c r="N42" s="147"/>
      <c r="O42" s="147"/>
      <c r="P42" s="144"/>
      <c r="Q42" s="4935">
        <v>1000</v>
      </c>
      <c r="R42" s="493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33">
        <v>2500</v>
      </c>
      <c r="R44" s="4934"/>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33">
        <v>2500</v>
      </c>
      <c r="R45" s="4934"/>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33">
        <v>2000</v>
      </c>
      <c r="R46" s="4934"/>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35">
        <v>1500</v>
      </c>
      <c r="R47" s="4936"/>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33">
        <v>6500</v>
      </c>
      <c r="R48" s="4934"/>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33">
        <v>5500</v>
      </c>
      <c r="R49" s="4934"/>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33">
        <v>500</v>
      </c>
      <c r="R50" s="4934"/>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33">
        <v>10000</v>
      </c>
      <c r="R51" s="493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33">
        <v>1500</v>
      </c>
      <c r="R53" s="4934"/>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33">
        <v>1500</v>
      </c>
      <c r="R54" s="4934"/>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33">
        <v>2500</v>
      </c>
      <c r="R55" s="4934"/>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69">
        <v>0.08</v>
      </c>
      <c r="R56" s="4969"/>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4969">
        <v>0.08</v>
      </c>
      <c r="R57" s="4969"/>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33">
        <v>8000</v>
      </c>
      <c r="R58" s="4934"/>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33"/>
      <c r="R59" s="4934"/>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31">
        <v>1000</v>
      </c>
      <c r="R61" s="4932"/>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31">
        <v>800</v>
      </c>
      <c r="R62" s="493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1">
        <v>1500</v>
      </c>
      <c r="R63" s="4932"/>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617">
        <v>750</v>
      </c>
      <c r="R64" s="4618"/>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5">
        <v>75</v>
      </c>
      <c r="R65" s="4936"/>
      <c r="S65" s="236"/>
      <c r="T65" s="236"/>
      <c r="U65" s="236"/>
      <c r="AA65" s="68"/>
      <c r="AB65" s="68"/>
    </row>
    <row r="66" spans="1:28" ht="11.25" customHeight="1">
      <c r="B66" s="147" t="s">
        <v>1726</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3917</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0">
        <v>3500000</v>
      </c>
      <c r="R77" s="4971"/>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1">
        <v>0.15</v>
      </c>
      <c r="R78" s="4942"/>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41">
        <v>0.15</v>
      </c>
      <c r="R79" s="4942"/>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1">
        <v>0.15</v>
      </c>
      <c r="R83" s="4942"/>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1" t="s">
        <v>2190</v>
      </c>
      <c r="R84" s="494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53">
        <v>0.02</v>
      </c>
      <c r="R98" s="495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5">
        <v>0.1</v>
      </c>
      <c r="R106" s="4955"/>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47">
        <v>1225000</v>
      </c>
      <c r="R107" s="4947"/>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48">
        <v>1105000</v>
      </c>
      <c r="R108" s="4948"/>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43">
        <v>1225000</v>
      </c>
      <c r="R109" s="4943"/>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43">
        <v>1105000</v>
      </c>
      <c r="R110" s="4943"/>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50">
        <v>1105000</v>
      </c>
      <c r="R111" s="4951"/>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44">
        <v>1150000</v>
      </c>
      <c r="R112" s="4944"/>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2510</v>
      </c>
      <c r="I113" s="144"/>
      <c r="J113" s="225" t="s">
        <v>2445</v>
      </c>
      <c r="K113" s="147"/>
      <c r="L113" s="147"/>
      <c r="M113" s="147"/>
      <c r="O113" s="147"/>
      <c r="P113" s="144"/>
      <c r="Q113" s="4916" t="s">
        <v>6762</v>
      </c>
      <c r="R113" s="4916"/>
      <c r="S113" s="230"/>
      <c r="T113" s="230"/>
      <c r="U113" s="144"/>
      <c r="V113" s="322"/>
      <c r="W113" s="322"/>
      <c r="X113" s="322"/>
      <c r="AA113" s="68"/>
      <c r="AB113" s="68"/>
    </row>
    <row r="114" spans="1:28" ht="12.75" customHeight="1">
      <c r="G114" s="2009"/>
      <c r="H114" s="147" t="s">
        <v>2392</v>
      </c>
      <c r="J114" s="4926">
        <v>0.35</v>
      </c>
      <c r="K114" s="4926"/>
      <c r="L114" s="147"/>
      <c r="M114" s="147"/>
      <c r="N114" s="147"/>
      <c r="O114" s="147"/>
      <c r="P114" s="144"/>
      <c r="Q114" s="4949">
        <v>1105000</v>
      </c>
      <c r="R114" s="4949"/>
    </row>
    <row r="115" spans="1:28" ht="11.25" customHeight="1">
      <c r="G115" s="147"/>
      <c r="H115" s="147" t="s">
        <v>6102</v>
      </c>
      <c r="I115" s="144"/>
      <c r="J115" s="4927">
        <v>0.35</v>
      </c>
      <c r="K115" s="4927"/>
      <c r="L115" s="147"/>
      <c r="M115" s="147"/>
      <c r="N115" s="147"/>
      <c r="O115" s="147"/>
      <c r="P115" s="144"/>
      <c r="Q115" s="4943">
        <v>1225000</v>
      </c>
      <c r="R115" s="4943"/>
    </row>
    <row r="116" spans="1:28" ht="11.25" customHeight="1">
      <c r="A116" s="229"/>
      <c r="G116" s="147"/>
      <c r="H116" s="147" t="s">
        <v>3021</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45"/>
      <c r="R118" s="494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30">
        <v>4000000</v>
      </c>
      <c r="R119" s="4930"/>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6758</v>
      </c>
      <c r="B125" s="4904"/>
      <c r="C125" s="2002"/>
      <c r="D125" s="4913"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5">
      <c r="A127" s="4904"/>
      <c r="B127" s="4904"/>
      <c r="C127" s="147"/>
      <c r="D127" s="4914"/>
      <c r="H127" s="4928" t="s">
        <v>6756</v>
      </c>
      <c r="J127" s="142" t="s">
        <v>748</v>
      </c>
      <c r="K127" s="142"/>
      <c r="L127" s="223"/>
    </row>
    <row r="128" spans="1:28" ht="13.5">
      <c r="C128" s="715" t="s">
        <v>751</v>
      </c>
      <c r="D128" s="1304" t="s">
        <v>2995</v>
      </c>
      <c r="F128" s="715" t="s">
        <v>6754</v>
      </c>
      <c r="H128" s="4929"/>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2996</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3403</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3304</v>
      </c>
      <c r="O140" s="434" t="s">
        <v>3494</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3498</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3501</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3502</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3505</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3511</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3516</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3520</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3522</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3527</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3530</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3532</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3533</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3538</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3542</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3550</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3552</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3554</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3561</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3566</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3568</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3569</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3578</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3583</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1" t="s">
        <v>2392</v>
      </c>
      <c r="N230" s="789" t="s">
        <v>1252</v>
      </c>
      <c r="O230" s="998" t="s">
        <v>3584</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3590</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3591</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1" t="s">
        <v>2392</v>
      </c>
      <c r="N244" s="789" t="s">
        <v>1131</v>
      </c>
      <c r="O244" s="998" t="s">
        <v>3598</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3600</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3601</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3781</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3604</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3605</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3606</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3608</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3616</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3623</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3625</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3638</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3642</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1">
        <v>2019</v>
      </c>
      <c r="D302" s="4912"/>
      <c r="E302" s="4912"/>
      <c r="F302" s="4912"/>
      <c r="G302" s="4911">
        <v>2020</v>
      </c>
      <c r="H302" s="4911"/>
      <c r="I302" s="4911"/>
      <c r="J302" s="4911"/>
      <c r="L302" s="4917" t="s">
        <v>4059</v>
      </c>
      <c r="M302" s="4918"/>
      <c r="N302" s="4918"/>
      <c r="O302" s="4919"/>
      <c r="P302" s="241" t="s">
        <v>740</v>
      </c>
      <c r="Q302" s="241"/>
      <c r="R302" s="147"/>
      <c r="S302" s="236"/>
      <c r="T302" s="236" t="s">
        <v>643</v>
      </c>
      <c r="U302" s="236" t="s">
        <v>2020</v>
      </c>
      <c r="W302" s="44" t="s">
        <v>1361</v>
      </c>
      <c r="X302" s="44" t="s">
        <v>3018</v>
      </c>
      <c r="AA302"/>
      <c r="AB302"/>
      <c r="AC302" s="380"/>
      <c r="AD302" s="68"/>
    </row>
    <row r="303" spans="3:30" ht="10.5" customHeight="1">
      <c r="C303" s="4905" t="s">
        <v>3963</v>
      </c>
      <c r="D303" s="4908" t="s">
        <v>3964</v>
      </c>
      <c r="E303" s="4908" t="s">
        <v>3965</v>
      </c>
      <c r="F303" s="4908" t="s">
        <v>3966</v>
      </c>
      <c r="G303" s="4905" t="s">
        <v>3963</v>
      </c>
      <c r="H303" s="4908" t="s">
        <v>3964</v>
      </c>
      <c r="I303" s="4908" t="s">
        <v>3965</v>
      </c>
      <c r="J303" s="4908" t="s">
        <v>3966</v>
      </c>
      <c r="L303" s="4905" t="s">
        <v>3963</v>
      </c>
      <c r="M303" s="4908" t="s">
        <v>3964</v>
      </c>
      <c r="N303" s="4908" t="s">
        <v>3965</v>
      </c>
      <c r="O303" s="4908" t="s">
        <v>3966</v>
      </c>
      <c r="P303" s="241" t="s">
        <v>2227</v>
      </c>
      <c r="Q303" s="241"/>
      <c r="R303" s="147"/>
      <c r="S303" s="236"/>
      <c r="T303" s="392" t="s">
        <v>148</v>
      </c>
      <c r="U303" s="392" t="s">
        <v>1738</v>
      </c>
      <c r="W303" s="44" t="s">
        <v>1479</v>
      </c>
      <c r="X303" s="44" t="s">
        <v>3018</v>
      </c>
      <c r="AA303"/>
      <c r="AB303"/>
      <c r="AC303" s="68"/>
      <c r="AD303" s="68"/>
    </row>
    <row r="304" spans="3:30" ht="10.5" customHeight="1">
      <c r="C304" s="4906"/>
      <c r="D304" s="4909"/>
      <c r="E304" s="4909"/>
      <c r="F304" s="4909"/>
      <c r="G304" s="4906"/>
      <c r="H304" s="4909"/>
      <c r="I304" s="4909"/>
      <c r="J304" s="4909"/>
      <c r="L304" s="4906"/>
      <c r="M304" s="4909"/>
      <c r="N304" s="4909"/>
      <c r="O304" s="4909"/>
      <c r="P304" s="241" t="s">
        <v>2228</v>
      </c>
      <c r="Q304" s="241"/>
      <c r="R304" s="147"/>
      <c r="S304" s="236"/>
      <c r="T304" s="392" t="s">
        <v>189</v>
      </c>
      <c r="U304" s="392" t="s">
        <v>585</v>
      </c>
      <c r="W304" s="44" t="s">
        <v>1967</v>
      </c>
      <c r="X304" s="44" t="s">
        <v>3018</v>
      </c>
      <c r="AA304"/>
      <c r="AB304"/>
      <c r="AC304" s="380"/>
      <c r="AD304" s="68"/>
    </row>
    <row r="305" spans="3:30" ht="10.5" customHeight="1">
      <c r="C305" s="4906"/>
      <c r="D305" s="4909"/>
      <c r="E305" s="4909"/>
      <c r="F305" s="4909"/>
      <c r="G305" s="4906"/>
      <c r="H305" s="4909"/>
      <c r="I305" s="4909"/>
      <c r="J305" s="4909"/>
      <c r="L305" s="4906"/>
      <c r="M305" s="4909"/>
      <c r="N305" s="4909"/>
      <c r="O305" s="4909"/>
      <c r="P305" s="241" t="s">
        <v>2230</v>
      </c>
      <c r="Q305" s="241"/>
      <c r="R305" s="147"/>
      <c r="S305" s="236"/>
      <c r="T305" s="392" t="s">
        <v>2365</v>
      </c>
      <c r="U305" s="392" t="s">
        <v>1864</v>
      </c>
      <c r="W305" s="44" t="s">
        <v>1969</v>
      </c>
      <c r="X305" s="44" t="s">
        <v>3018</v>
      </c>
      <c r="AA305"/>
      <c r="AB305"/>
      <c r="AC305" s="380"/>
      <c r="AD305" s="68"/>
    </row>
    <row r="306" spans="3:30" ht="10.5" customHeight="1">
      <c r="C306" s="4906"/>
      <c r="D306" s="4909"/>
      <c r="E306" s="4909"/>
      <c r="F306" s="4909"/>
      <c r="G306" s="4906"/>
      <c r="H306" s="4909"/>
      <c r="I306" s="4909"/>
      <c r="J306" s="4909"/>
      <c r="L306" s="4906"/>
      <c r="M306" s="4909"/>
      <c r="N306" s="4909"/>
      <c r="O306" s="4909"/>
      <c r="P306" s="241" t="s">
        <v>2232</v>
      </c>
      <c r="Q306" s="241"/>
      <c r="R306" s="147"/>
      <c r="S306" s="236"/>
      <c r="T306" s="392" t="s">
        <v>737</v>
      </c>
      <c r="U306" s="392" t="s">
        <v>100</v>
      </c>
      <c r="W306" s="44" t="s">
        <v>1352</v>
      </c>
      <c r="X306" s="44" t="s">
        <v>3018</v>
      </c>
      <c r="AA306"/>
      <c r="AB306"/>
      <c r="AC306" s="380"/>
      <c r="AD306" s="68"/>
    </row>
    <row r="307" spans="3:30" ht="10.5" customHeight="1">
      <c r="C307" s="4906"/>
      <c r="D307" s="4909"/>
      <c r="E307" s="4909"/>
      <c r="F307" s="4909"/>
      <c r="G307" s="4906"/>
      <c r="H307" s="4909"/>
      <c r="I307" s="4909"/>
      <c r="J307" s="4909"/>
      <c r="L307" s="4906"/>
      <c r="M307" s="4909"/>
      <c r="N307" s="4909"/>
      <c r="O307" s="4909"/>
      <c r="P307" s="241" t="s">
        <v>2233</v>
      </c>
      <c r="Q307" s="241"/>
      <c r="R307" s="147"/>
      <c r="S307" s="236"/>
      <c r="T307" s="392" t="s">
        <v>739</v>
      </c>
      <c r="U307" s="392" t="s">
        <v>116</v>
      </c>
      <c r="W307" s="44" t="s">
        <v>1453</v>
      </c>
      <c r="X307" s="44" t="s">
        <v>3018</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1796</v>
      </c>
      <c r="Q334" s="241"/>
      <c r="R334" s="147"/>
      <c r="S334" s="236"/>
      <c r="T334" s="236" t="s">
        <v>3782</v>
      </c>
      <c r="U334" s="236" t="s">
        <v>618</v>
      </c>
      <c r="W334" s="44" t="s">
        <v>2315</v>
      </c>
      <c r="X334" s="44" t="s">
        <v>3018</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2287</v>
      </c>
      <c r="W339" s="44" t="s">
        <v>1766</v>
      </c>
      <c r="X339" s="44" t="s">
        <v>3018</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1765</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1830</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ht="13.5">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ht="13.5">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ht="13.5">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ht="13.5">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ht="13.5">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ht="13.5">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ht="13.5">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ht="13.5">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ht="13.5">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ht="13.5">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ht="13.5">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ht="13.5">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ht="13.5">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ht="13.5">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ht="13.5">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ht="13.5">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ht="13.5">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ht="13.5">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ht="13.5">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ht="13.5">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ht="13.5">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ht="13.5">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ht="13.5">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ht="13.5">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ht="13.5">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ht="13.5">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ht="13.5">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ht="13.5">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ht="13.5">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ht="13.5">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ht="13.5">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ht="13.5">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ht="13.5">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ht="13.5">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ht="13.5">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ht="13.5">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ht="13.5">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ht="13.5">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ht="13.5">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ht="13.5">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ht="13.5">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ht="13.5">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ht="13.5">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ht="13.5">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ht="13.5">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ht="13.5">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ht="13.5">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ht="13.5">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ht="13.5">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ht="13.5">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ht="13.5">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ht="13.5">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ht="13.5">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ht="13.5">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ht="13.5">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ht="13.5">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ht="13.5">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ht="13.5">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ht="13.5">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ht="13.5">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ht="13.5">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ht="13.5">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ht="13.5">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ht="13.5">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ht="13.5">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ht="13.5">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ht="13.5">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ht="13.5">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ht="13.5">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ht="13.5">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ht="13.5">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ht="13.5">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ht="13.5">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ht="13.5">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ht="13.5">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ht="13.5">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ht="13.5">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ht="13.5">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ht="13.5">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ht="13.5">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ht="13.5">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ht="13.5">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ht="13.5">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ht="13.5">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ht="13.5">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ht="13.5">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ht="13.5">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ht="13.5">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ht="13.5">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ht="13.5">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ht="13.5">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ht="13.5">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ht="13.5">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ht="13.5">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ht="13.5">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ht="13.5">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ht="13.5">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ht="13.5">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ht="13.5">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ht="13.5">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ht="13.5">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ht="13.5">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ht="13.5">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ht="13.5">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ht="13.5">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ht="13.5">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ht="13.5">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ht="13.5">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ht="13.5">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ht="13.5">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ht="13.5">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ht="13.5">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ht="13.5">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ht="13.5">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ht="13.5">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ht="13.5">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ht="13.5">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ht="13.5">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ht="13.5">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ht="13.5">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ht="13.5">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ht="13.5">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ht="13.5">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ht="13.5">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ht="13.5">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ht="13.5">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ht="13.5">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ht="13.5">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ht="13.5">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ht="13.5">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ht="13.5">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ht="13.5">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ht="13.5">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ht="13.5">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ht="13.5">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ht="13.5">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ht="13.5">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ht="13.5">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ht="13.5">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ht="13.5">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ht="13.5">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ht="13.5">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ht="13.5">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ht="13.5">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ht="13.5">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ht="13.5">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ht="13.5">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ht="13.5">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ht="13.5">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ht="13.5">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ht="13.5">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ht="13.5">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ht="13.5">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ht="13.5">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ht="13.5">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ht="13.5">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ht="13.5">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ht="13.5">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ht="13.5">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ht="13.5">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ht="13.5">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ht="13.5">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ht="13.5">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ht="13.5">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ht="13.5">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ht="13.5">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ht="13.5">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ht="13.5">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ht="13.5">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ht="13.5">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ht="13.5">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ht="13.5">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ht="13.5">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ht="13.5">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ht="13.5">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ht="13.5">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ht="13.5">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ht="13.5">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ht="13.5">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ht="13.5">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ht="13.5">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ht="13.5">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ht="13.5">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ht="13.5">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ht="13.5">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ht="13.5">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ht="13.5">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ht="13.5">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ht="13.5">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ht="13.5">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ht="13.5">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ht="13.5">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ht="13.5">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ht="13.5">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ht="13.5">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ht="13.5">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ht="13.5">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ht="13.5">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ht="13.5">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ht="13.5">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ht="13.5">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ht="13.5">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ht="13.5">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ht="13.5">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ht="13.5">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ht="13.5">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ht="13.5">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ht="13.5">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ht="13.5">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ht="13.5">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ht="13.5">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ht="13.5">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ht="13.5">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ht="13.5">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ht="13.5">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ht="13.5">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ht="13.5">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ht="13.5">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ht="13.5">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ht="13.5">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ht="13.5">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ht="13.5">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ht="13.5">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ht="13.5">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ht="13.5">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ht="13.5">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ht="13.5">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ht="13.5">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ht="13.5">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ht="13.5">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ht="13.5">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ht="13.5">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ht="13.5">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ht="13.5">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ht="13.5">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ht="13.5">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ht="13.5">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ht="13.5">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ht="13.5">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ht="13.5">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ht="13.5">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ht="13.5">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ht="13.5">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ht="13.5">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ht="13.5">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ht="13.5">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ht="13.5">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ht="13.5">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ht="13.5">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ht="13.5">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ht="13.5">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ht="13.5">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ht="13.5">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ht="13.5">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ht="13.5">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ht="13.5">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ht="13.5">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ht="13.5">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ht="13.5">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ht="13.5">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ht="13.5">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ht="13.5">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ht="13.5">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ht="13.5">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ht="13.5">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ht="13.5">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ht="13.5">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ht="13.5">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ht="13.5">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ht="13.5">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ht="13.5">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ht="13.5">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ht="13.5">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ht="13.5">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ht="13.5">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ht="13.5">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ht="13.5">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ht="13.5">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ht="13.5">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ht="13.5">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ht="13.5">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ht="13.5">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ht="13.5">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ht="13.5">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ht="13.5">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ht="13.5">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ht="13.5">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ht="13.5">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ht="13.5">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ht="13.5">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ht="13.5">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ht="13.5">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ht="13.5">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ht="13.5">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ht="13.5">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ht="13.5">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ht="13.5">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ht="13.5">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ht="13.5">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ht="13.5">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ht="13.5">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ht="13.5">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ht="13.5">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ht="13.5">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ht="13.5">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ht="13.5">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ht="13.5">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ht="13.5">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ht="13.5">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ht="13.5">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ht="13.5">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ht="13.5">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ht="13.5">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ht="13.5">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ht="13.5">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ht="13.5">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ht="13.5">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ht="13.5">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ht="13.5">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ht="13.5">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ht="13.5">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ht="13.5">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ht="13.5">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ht="13.5">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ht="13.5">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ht="13.5">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ht="13.5">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ht="13.5">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ht="13.5">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ht="13.5">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ht="13.5">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ht="13.5">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ht="13.5">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ht="13.5">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ht="13.5">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ht="13.5">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ht="13.5">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ht="13.5">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ht="13.5">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ht="13.5">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ht="13.5">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ht="13.5">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ht="13.5">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ht="13.5">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ht="13.5">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ht="13.5">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ht="13.5">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ht="13.5">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ht="13.5">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ht="13.5">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ht="13.5">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ht="13.5">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ht="13.5">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ht="13.5">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ht="13.5">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ht="13.5">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ht="13.5">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ht="13.5">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ht="13.5">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ht="13.5">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ht="13.5">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ht="13.5">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ht="13.5">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ht="13.5">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ht="13.5">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ht="13.5">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ht="13.5">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ht="13.5">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ht="13.5">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ht="13.5">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ht="13.5">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ht="13.5">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ht="13.5">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ht="13.5">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ht="13.5">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ht="13.5">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ht="13.5">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ht="13.5">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ht="13.5">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ht="13.5">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ht="13.5">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ht="13.5">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ht="13.5">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ht="13.5">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ht="13.5">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ht="13.5">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ht="13.5">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ht="13.5">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ht="13.5">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ht="13.5">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ht="13.5">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ht="13.5">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ht="13.5">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ht="13.5">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ht="13.5">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ht="13.5">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ht="13.5">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ht="13.5">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ht="13.5">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ht="13.5">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ht="13.5">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ht="13.5">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ht="13.5">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ht="13.5">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ht="13.5">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ht="13.5">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ht="13.5">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ht="13.5">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ht="13.5">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ht="13.5">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ht="13.5">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ht="13.5">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ht="13.5">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ht="13.5">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ht="13.5">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ht="13.5">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ht="13.5">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ht="13.5">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ht="13.5">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ht="13.5">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ht="13.5">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ht="13.5">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ht="13.5">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ht="13.5">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ht="13.5">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ht="13.5">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ht="13.5">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ht="13.5">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ht="13.5">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ht="13.5">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ht="13.5">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ht="13.5">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ht="13.5">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ht="13.5">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ht="13.5">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ht="13.5">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ht="13.5">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ht="13.5">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ht="13.5">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ht="13.5">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ht="13.5">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ht="13.5">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ht="13.5">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ht="13.5">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ht="13.5">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ht="13.5">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ht="13.5">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ht="13.5">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ht="13.5">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ht="13.5">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ht="13.5">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ht="13.5">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ht="13.5">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ht="13.5">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ht="13.5">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ht="13.5">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ht="13.5">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ht="13.5">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ht="13.5">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ht="13.5">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ht="13.5">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ht="13.5">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ht="13.5">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ht="13.5">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ht="13.5">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ht="13.5">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ht="13.5">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ht="13.5">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ht="13.5">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ht="13.5">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ht="13.5">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ht="13.5">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ht="13.5">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ht="13.5">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ht="13.5">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ht="13.5">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ht="13.5">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ht="13.5">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ht="13.5">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ht="13.5">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ht="13.5">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ht="13.5">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ht="13.5">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ht="13.5">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ht="13.5">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ht="13.5">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ht="13.5">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ht="13.5">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ht="13.5">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ht="13.5">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ht="13.5">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ht="13.5">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ht="13.5">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ht="13.5">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ht="13.5">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ht="13.5">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ht="13.5">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ht="13.5">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ht="13.5">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ht="13.5">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ht="13.5">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ht="13.5">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ht="13.5">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ht="13.5">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ht="13.5">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ht="13.5">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ht="13.5">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ht="13.5">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ht="13.5">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ht="13.5">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ht="13.5">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ht="13.5">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ht="13.5">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ht="13.5">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ht="13.5">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ht="13.5">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ht="13.5">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ht="13.5">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ht="13.5">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ht="13.5">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ht="13.5">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ht="13.5">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ht="13.5">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ht="13.5">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ht="13.5">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ht="13.5">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ht="13.5">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ht="13.5">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ht="13.5">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ht="13.5">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ht="13.5">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ht="13.5">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ht="13.5">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ht="13.5">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ht="13.5">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ht="13.5">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ht="13.5">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ht="13.5">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ht="13.5">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ht="13.5">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ht="13.5">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ht="13.5">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ht="13.5">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ht="13.5">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ht="13.5">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ht="13.5">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ht="13.5">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ht="13.5">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ht="13.5">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ht="13.5">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ht="13.5">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ht="13.5">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ht="13.5">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ht="13.5">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ht="13.5">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ht="13.5">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ht="13.5">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ht="13.5">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ht="13.5">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ht="13.5">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ht="13.5">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ht="13.5">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ht="13.5">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ht="13.5">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ht="13.5">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ht="13.5">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ht="13.5">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ht="13.5">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ht="13.5">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ht="13.5">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ht="13.5">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ht="13.5">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ht="13.5">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ht="13.5">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ht="13.5">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ht="13.5">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ht="13.5">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ht="13.5">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ht="13.5">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ht="13.5">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ht="13.5">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ht="13.5">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ht="13.5">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ht="13.5">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ht="13.5">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ht="13.5">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ht="13.5">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ht="13.5">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ht="13.5">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ht="13.5">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ht="13.5">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ht="13.5">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ht="13.5">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ht="13.5">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ht="13.5">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ht="13.5">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ht="13.5">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ht="13.5">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ht="13.5">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ht="13.5">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ht="13.5">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ht="13.5">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ht="13.5">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ht="13.5">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ht="13.5">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ht="13.5">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ht="13.5">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ht="13.5">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ht="13.5">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ht="13.5">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ht="13.5">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ht="13.5">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ht="13.5">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ht="13.5">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ht="13.5">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ht="13.5">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ht="13.5">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ht="13.5">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ht="13.5">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ht="13.5">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ht="13.5">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ht="13.5">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ht="13.5">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ht="13.5">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ht="13.5">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ht="13.5">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ht="13.5">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ht="13.5">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ht="13.5">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ht="13.5">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ht="13.5">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ht="13.5">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ht="13.5">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ht="13.5">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ht="13.5">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ht="13.5">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ht="13.5">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ht="13.5">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ht="13.5">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ht="13.5">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ht="13.5">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ht="13.5">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ht="13.5">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ht="13.5">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ht="13.5">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ht="13.5">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ht="13.5">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ht="13.5">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ht="13.5">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ht="13.5">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ht="13.5">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ht="13.5">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ht="13.5">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ht="13.5">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ht="13.5">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ht="13.5">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ht="13.5">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ht="13.5">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ht="13.5">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ht="13.5">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ht="13.5">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ht="13.5">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ht="13.5">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ht="13.5">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ht="13.5">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ht="13.5">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ht="13.5">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ht="13.5">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ht="13.5">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ht="13.5">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ht="13.5">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ht="13.5">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ht="13.5">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ht="13.5">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ht="13.5">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ht="13.5">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ht="13.5">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ht="13.5">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ht="13.5">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ht="13.5">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ht="13.5">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ht="13.5">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ht="13.5">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ht="13.5">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ht="13.5">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ht="13.5">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ht="13.5">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ht="13.5">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ht="13.5">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ht="13.5">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ht="13.5">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ht="13.5">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ht="13.5">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ht="13.5">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ht="13.5">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ht="13.5">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ht="13.5">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ht="13.5">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ht="13.5">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ht="13.5">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ht="13.5">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ht="13.5">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ht="13.5">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ht="13.5">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ht="13.5">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ht="13.5">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ht="13.5">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ht="13.5">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ht="13.5">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ht="13.5">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ht="13.5">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ht="13.5">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ht="13.5">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ht="13.5">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ht="13.5">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ht="13.5">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ht="13.5">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ht="13.5">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ht="13.5">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ht="13.5">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ht="13.5">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ht="13.5">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ht="13.5">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ht="13.5">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ht="13.5">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ht="13.5">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ht="13.5">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ht="13.5">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ht="13.5">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ht="13.5">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ht="13.5">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ht="13.5">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ht="13.5">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ht="13.5">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ht="13.5">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ht="13.5">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ht="13.5">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ht="13.5">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ht="13.5">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ht="13.5">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ht="13.5">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ht="13.5">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ht="13.5">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ht="13.5">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ht="13.5">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ht="13.5">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ht="13.5">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ht="13.5">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ht="13.5">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ht="13.5">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ht="13.5">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ht="13.5">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ht="13.5">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ht="13.5">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ht="13.5">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ht="13.5">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ht="13.5">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ht="13.5">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ht="13.5">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ht="13.5">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ht="13.5">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ht="13.5">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ht="13.5">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ht="13.5">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ht="13.5">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ht="13.5">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ht="13.5">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ht="13.5">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ht="13.5">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ht="13.5">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ht="13.5">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ht="13.5">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ht="13.5">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ht="13.5">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ht="13.5">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ht="13.5">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ht="13.5">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ht="13.5">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ht="13.5">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ht="13.5">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ht="13.5">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ht="13.5">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ht="13.5">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ht="13.5">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ht="13.5">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ht="13.5">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ht="13.5">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ht="13.5">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ht="13.5">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ht="13.5">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ht="13.5">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ht="13.5">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ht="13.5">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ht="13.5">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ht="13.5">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ht="13.5">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ht="13.5">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ht="13.5">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ht="13.5">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ht="13.5">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ht="13.5">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ht="13.5">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ht="13.5">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ht="13.5">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ht="13.5">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ht="13.5">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ht="13.5">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ht="13.5">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ht="13.5">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ht="13.5">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ht="13.5">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ht="13.5">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ht="13.5">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ht="13.5">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ht="13.5">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ht="13.5">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ht="13.5">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ht="13.5">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ht="13.5">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ht="13.5">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ht="13.5">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ht="13.5">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ht="13.5">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ht="13.5">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ht="13.5">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ht="13.5">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ht="13.5">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ht="13.5">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ht="13.5">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ht="13.5">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ht="13.5">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ht="13.5">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ht="13.5">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ht="13.5">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ht="13.5">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ht="13.5">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ht="13.5">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ht="13.5">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ht="13.5">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ht="13.5">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ht="13.5">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ht="13.5">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ht="13.5">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ht="13.5">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ht="13.5">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ht="13.5">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ht="13.5">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ht="13.5">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ht="13.5">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ht="13.5">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ht="13.5">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ht="13.5">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ht="13.5">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ht="13.5">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ht="13.5">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ht="13.5">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ht="13.5">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ht="13.5">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ht="13.5">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ht="13.5">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ht="13.5">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ht="13.5">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ht="13.5">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ht="13.5">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ht="13.5">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ht="13.5">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ht="13.5">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ht="13.5">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ht="13.5">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ht="13.5">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ht="13.5">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ht="13.5">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ht="13.5">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ht="13.5">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ht="13.5">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ht="13.5">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ht="13.5">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ht="13.5">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ht="13.5">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ht="13.5">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ht="13.5">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ht="13.5">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ht="13.5">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ht="13.5">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ht="13.5">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ht="13.5">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ht="13.5">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ht="13.5">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ht="13.5">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ht="13.5">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ht="13.5">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ht="13.5">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ht="13.5">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ht="13.5">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ht="13.5">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ht="13.5">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ht="13.5">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ht="13.5">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ht="13.5">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ht="13.5">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ht="13.5">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ht="13.5">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ht="13.5">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ht="13.5">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ht="13.5">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ht="13.5">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ht="13.5">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ht="13.5">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ht="13.5">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ht="13.5">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ht="13.5">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ht="13.5">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ht="13.5">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ht="13.5">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ht="13.5">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ht="13.5">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ht="13.5">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ht="13.5">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ht="13.5">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ht="13.5">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ht="13.5">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ht="13.5">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ht="13.5">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ht="13.5">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ht="13.5">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ht="13.5">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ht="13.5">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ht="13.5">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ht="13.5">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ht="13.5">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ht="13.5">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ht="13.5">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ht="13.5">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ht="13.5">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ht="13.5">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ht="13.5">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ht="13.5">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ht="13.5">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ht="13.5">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ht="13.5">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ht="13.5">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ht="13.5">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ht="13.5">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ht="13.5">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ht="13.5">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ht="13.5">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ht="13.5">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ht="13.5">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ht="13.5">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ht="13.5">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ht="13.5">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ht="13.5">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ht="13.5">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ht="13.5">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ht="13.5">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ht="13.5">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ht="13.5">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ht="13.5">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ht="13.5">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ht="13.5">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ht="13.5">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ht="13.5">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ht="13.5">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ht="13.5">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ht="13.5">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ht="13.5">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ht="13.5">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ht="13.5">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ht="13.5">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ht="13.5">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ht="13.5">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ht="13.5">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ht="13.5">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ht="13.5">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ht="13.5">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ht="13.5">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ht="13.5">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ht="13.5">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ht="13.5">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ht="13.5">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ht="13.5">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ht="13.5">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ht="13.5">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ht="13.5">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ht="13.5">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ht="13.5">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ht="13.5">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ht="13.5">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ht="13.5">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ht="13.5">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ht="13.5">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ht="13.5">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ht="13.5">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ht="13.5">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ht="13.5">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ht="13.5">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ht="13.5">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ht="13.5">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ht="13.5">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ht="13.5">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ht="13.5">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ht="13.5">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ht="13.5">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ht="13.5">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ht="13.5">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ht="13.5">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ht="13.5">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ht="13.5">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ht="13.5">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ht="13.5">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ht="13.5">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ht="13.5">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ht="13.5">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ht="13.5">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ht="13.5">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ht="13.5">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ht="13.5">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ht="13.5">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ht="13.5">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ht="13.5">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ht="13.5">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ht="13.5">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ht="13.5">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ht="13.5">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ht="13.5">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ht="13.5">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ht="13.5">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ht="13.5">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ht="13.5">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ht="13.5">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ht="13.5">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ht="13.5">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ht="13.5">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ht="13.5">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ht="13.5">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ht="13.5">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ht="13.5">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ht="13.5">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ht="13.5">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ht="13.5">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ht="13.5">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ht="13.5">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ht="13.5">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ht="13.5">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ht="13.5">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ht="13.5">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ht="13.5">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ht="13.5">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ht="13.5">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ht="13.5">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ht="13.5">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ht="13.5">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ht="13.5">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ht="13.5">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ht="13.5">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ht="13.5">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ht="13.5">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ht="13.5">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ht="13.5">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ht="13.5">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ht="13.5">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ht="13.5">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ht="13.5">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ht="13.5">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ht="13.5">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ht="13.5">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ht="13.5">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ht="13.5">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ht="13.5">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ht="13.5">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ht="13.5">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ht="13.5">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ht="13.5">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ht="13.5">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ht="13.5">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ht="13.5">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ht="13.5">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ht="13.5">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ht="13.5">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ht="13.5">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ht="13.5">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ht="13.5">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ht="13.5">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ht="13.5">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ht="13.5">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ht="13.5">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ht="13.5">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ht="13.5">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ht="13.5">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ht="13.5">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ht="13.5">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ht="13.5">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ht="13.5">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ht="13.5">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ht="13.5">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ht="13.5">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ht="13.5">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ht="13.5">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ht="13.5">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ht="13.5">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ht="13.5">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ht="13.5">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ht="13.5">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ht="13.5">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ht="13.5">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ht="13.5">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ht="13.5">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ht="13.5">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ht="13.5">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ht="13.5">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ht="13.5">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ht="13.5">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ht="13.5">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ht="13.5">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ht="13.5">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ht="13.5">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ht="13.5">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ht="13.5">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ht="13.5">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ht="13.5">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ht="13.5">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ht="13.5">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ht="13.5">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ht="13.5">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ht="13.5">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ht="13.5">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ht="13.5">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ht="13.5">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ht="13.5">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ht="13.5">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ht="13.5">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ht="13.5">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ht="13.5">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ht="13.5">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ht="13.5">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ht="13.5">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ht="13.5">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ht="13.5">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ht="13.5">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ht="13.5">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ht="13.5">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ht="13.5">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ht="13.5">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ht="13.5">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ht="13.5">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ht="13.5">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ht="13.5">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ht="13.5">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ht="13.5">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ht="13.5">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ht="13.5">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ht="13.5">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ht="13.5">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ht="13.5">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ht="13.5">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ht="13.5">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ht="13.5">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ht="13.5">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ht="13.5">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ht="13.5">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ht="13.5">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ht="13.5">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ht="13.5">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ht="13.5">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ht="13.5">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ht="13.5">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ht="13.5">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ht="13.5">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ht="13.5">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ht="13.5">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ht="13.5">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ht="13.5">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ht="13.5">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ht="13.5">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ht="13.5">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ht="13.5">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ht="13.5">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ht="13.5">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ht="13.5">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ht="13.5">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ht="13.5">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ht="13.5">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ht="13.5">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ht="13.5">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ht="13.5">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ht="13.5">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ht="13.5">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ht="13.5">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ht="13.5">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ht="13.5">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ht="13.5">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ht="13.5">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ht="13.5">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ht="13.5">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ht="13.5">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ht="13.5">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ht="13.5">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ht="13.5">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ht="13.5">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ht="13.5">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ht="13.5">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ht="13.5">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ht="13.5">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ht="13.5">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ht="13.5">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ht="13.5">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ht="13.5">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ht="13.5">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ht="13.5">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ht="13.5">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ht="13.5">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ht="13.5">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ht="13.5">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ht="13.5">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ht="13.5">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ht="13.5">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ht="13.5">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ht="13.5">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ht="13.5">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ht="13.5">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ht="13.5">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ht="13.5">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ht="13.5">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ht="13.5">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ht="13.5">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ht="13.5">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ht="13.5">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ht="13.5">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ht="13.5">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ht="13.5">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ht="13.5">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ht="13.5">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ht="13.5">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ht="13.5">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ht="13.5">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ht="13.5">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ht="13.5">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ht="13.5">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ht="13.5">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ht="13.5">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ht="13.5">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ht="13.5">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ht="13.5">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ht="13.5">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ht="13.5">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ht="13.5">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ht="13.5">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ht="13.5">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ht="13.5">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ht="13.5">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ht="13.5">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ht="13.5">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ht="13.5">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ht="13.5">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ht="13.5">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ht="13.5">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ht="13.5">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ht="13.5">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ht="13.5">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ht="13.5">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ht="13.5">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ht="13.5">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ht="13.5">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ht="13.5">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ht="13.5">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ht="13.5">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ht="13.5">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ht="13.5">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ht="13.5">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ht="13.5">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ht="13.5">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ht="13.5">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ht="13.5">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ht="13.5">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ht="13.5">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ht="13.5">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ht="13.5">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ht="13.5">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ht="13.5">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ht="13.5">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ht="13.5">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ht="13.5">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ht="13.5">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ht="13.5">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ht="13.5">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ht="13.5">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ht="13.5">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ht="13.5">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ht="13.5">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ht="13.5">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ht="13.5">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ht="13.5">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ht="13.5">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ht="13.5">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ht="13.5">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ht="13.5">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ht="13.5">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ht="13.5">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ht="13.5">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ht="13.5">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ht="13.5">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ht="13.5">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ht="13.5">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ht="13.5">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ht="13.5">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ht="13.5">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ht="13.5">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ht="13.5">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ht="13.5">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ht="13.5">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ht="13.5">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ht="13.5">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ht="13.5">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ht="13.5">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ht="13.5">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ht="13.5">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ht="13.5">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ht="13.5">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ht="13.5">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ht="13.5">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ht="13.5">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ht="13.5">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ht="13.5">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ht="13.5">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ht="13.5">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ht="13.5">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ht="13.5">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ht="13.5">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ht="13.5">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ht="13.5">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ht="13.5">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ht="13.5">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ht="13.5">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ht="13.5">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ht="13.5">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ht="13.5">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ht="13.5">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ht="13.5">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ht="13.5">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ht="13.5">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ht="13.5">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ht="13.5">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ht="13.5">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ht="13.5">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ht="13.5">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ht="13.5">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ht="13.5">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ht="13.5">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ht="13.5">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ht="13.5">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ht="13.5">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ht="13.5">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ht="13.5">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ht="13.5">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ht="13.5">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ht="13.5">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ht="13.5">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ht="13.5">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ht="13.5">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ht="13.5">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ht="13.5">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ht="13.5">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ht="13.5">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ht="13.5">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ht="13.5">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ht="13.5">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ht="13.5">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ht="13.5">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ht="13.5">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ht="13.5">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ht="13.5">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ht="13.5">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ht="13.5">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ht="13.5">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ht="13.5">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ht="13.5">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ht="13.5">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ht="13.5">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ht="13.5">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ht="13.5">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ht="13.5">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ht="13.5">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ht="13.5">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ht="13.5">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ht="13.5">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ht="13.5">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ht="13.5">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ht="13.5">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ht="13.5">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ht="13.5">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ht="13.5">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ht="13.5">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ht="13.5">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ht="13.5">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ht="13.5">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ht="13.5">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ht="13.5">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ht="13.5">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ht="13.5">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ht="13.5">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ht="13.5">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ht="13.5">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ht="13.5">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ht="13.5">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ht="13.5">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ht="13.5">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ht="13.5">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ht="13.5">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ht="13.5">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ht="13.5">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ht="13.5">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ht="13.5">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ht="13.5">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ht="13.5">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ht="13.5">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ht="13.5">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ht="13.5">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ht="13.5">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ht="13.5">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ht="13.5">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ht="13.5">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ht="13.5">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ht="13.5">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ht="13.5">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ht="13.5">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ht="13.5">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ht="13.5">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ht="13.5">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ht="13.5">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ht="13.5">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ht="13.5">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ht="13.5">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ht="13.5">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ht="13.5">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ht="13.5">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ht="13.5">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ht="13.5">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ht="13.5">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ht="13.5">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ht="13.5">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ht="13.5">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ht="13.5">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ht="13.5">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ht="13.5">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ht="13.5">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ht="13.5">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ht="13.5">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ht="13.5">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ht="13.5">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ht="13.5">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ht="13.5">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ht="13.5">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ht="13.5">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ht="13.5">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ht="13.5">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ht="13.5">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ht="13.5">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ht="13.5">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ht="13.5">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ht="13.5">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ht="13.5">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ht="13.5">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ht="13.5">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ht="13.5">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ht="13.5">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ht="13.5">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ht="13.5">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ht="13.5">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ht="13.5">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ht="13.5">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ht="13.5">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ht="13.5">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ht="13.5">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ht="13.5">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ht="13.5">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ht="13.5">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ht="13.5">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ht="13.5">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ht="13.5">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ht="13.5">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ht="13.5">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ht="13.5">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ht="13.5">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ht="13.5">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ht="13.5">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ht="13.5">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ht="13.5">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ht="13.5">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ht="13.5">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ht="13.5">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ht="13.5">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ht="13.5">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ht="13.5">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ht="13.5">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ht="13.5">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ht="13.5">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ht="13.5">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ht="13.5">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ht="13.5">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ht="13.5">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ht="13.5">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Augusta, Richmond Summit,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6951</v>
      </c>
      <c r="H5" s="1819"/>
      <c r="I5" s="1819"/>
      <c r="J5" s="1819"/>
      <c r="K5" s="1819"/>
      <c r="L5" s="2615"/>
      <c r="M5" s="1819"/>
      <c r="N5" s="1819"/>
      <c r="O5" s="1819"/>
      <c r="P5" s="2620" t="s">
        <v>3291</v>
      </c>
    </row>
    <row r="6" spans="1:26" ht="14.25" customHeight="1">
      <c r="A6" s="2618"/>
      <c r="B6" s="2618"/>
      <c r="C6" s="2618"/>
      <c r="D6" s="2618"/>
      <c r="E6" s="2621"/>
      <c r="F6" s="2615"/>
      <c r="G6" s="2619" t="s">
        <v>6952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3268</v>
      </c>
      <c r="G9" s="1819"/>
      <c r="H9" s="1819"/>
      <c r="I9" s="2543">
        <f>'Part III-A-Uses of Funds'!$J$191</f>
        <v>1105000</v>
      </c>
      <c r="J9" s="2543"/>
      <c r="K9" s="1819"/>
      <c r="L9" s="1819" t="s">
        <v>3269</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6953</v>
      </c>
      <c r="J11" s="2614" t="s">
        <v>6954</v>
      </c>
      <c r="K11" s="2614"/>
      <c r="L11" s="1622"/>
      <c r="M11" s="1819"/>
      <c r="N11" s="1819"/>
      <c r="O11" s="1819" t="str">
        <f>'Part I-Project Identification'!O12</f>
        <v>2023PA-074</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3674</v>
      </c>
      <c r="C13" s="1819"/>
      <c r="D13" s="2623"/>
      <c r="E13" s="1622"/>
      <c r="F13" s="1819"/>
      <c r="G13" s="1622"/>
      <c r="H13" s="1622"/>
      <c r="I13" s="1622"/>
      <c r="J13" s="1819"/>
      <c r="K13" s="1819"/>
      <c r="L13" s="2625"/>
      <c r="M13" s="1819"/>
      <c r="N13" s="1819"/>
      <c r="O13" s="1819"/>
      <c r="P13" s="1819"/>
    </row>
    <row r="14" spans="1:26">
      <c r="A14" s="1819"/>
      <c r="B14" s="1819" t="s">
        <v>3297</v>
      </c>
      <c r="C14" s="1819"/>
      <c r="D14" s="1819"/>
      <c r="E14" s="1819"/>
      <c r="F14" s="1819" t="str">
        <f>'Part I-Project Identification'!F15</f>
        <v>Richmond Summit Apartments, LP</v>
      </c>
      <c r="G14" s="1819"/>
      <c r="H14" s="1819"/>
      <c r="I14" s="1819" t="s">
        <v>1670</v>
      </c>
      <c r="J14" s="1819" t="str">
        <f>'Part I-Project Identification'!J15</f>
        <v>Lauren Valdez</v>
      </c>
      <c r="K14" s="1819"/>
      <c r="L14" s="1819"/>
      <c r="M14" s="2623" t="s">
        <v>1839</v>
      </c>
      <c r="N14" s="1819" t="str">
        <f>'Part I-Project Identification'!N15</f>
        <v>Project Manager</v>
      </c>
      <c r="O14" s="1819"/>
      <c r="P14" s="1819"/>
    </row>
    <row r="15" spans="1:26" s="1819" customFormat="1" ht="12.75" customHeight="1">
      <c r="B15" s="2623" t="s">
        <v>1599</v>
      </c>
      <c r="F15" s="2628">
        <f>'Part I-Project Identification'!F16</f>
        <v>2066882087</v>
      </c>
      <c r="G15" s="2628"/>
      <c r="H15" s="2628"/>
      <c r="I15" s="2623" t="s">
        <v>1598</v>
      </c>
      <c r="J15" s="2629">
        <f>'Part I-Project Identification'!J16</f>
        <v>0</v>
      </c>
      <c r="M15" s="2623" t="s">
        <v>1600</v>
      </c>
      <c r="N15" s="2628">
        <f>'Part I-Project Identification'!N16</f>
        <v>2066882087</v>
      </c>
      <c r="O15" s="2628"/>
      <c r="P15" s="2628"/>
      <c r="Q15" s="357"/>
      <c r="R15" s="357"/>
      <c r="S15" s="357"/>
      <c r="V15" s="2630"/>
      <c r="W15" s="2630"/>
      <c r="X15" s="2630"/>
      <c r="Z15" s="1622">
        <v>18</v>
      </c>
    </row>
    <row r="16" spans="1:26" s="1819" customFormat="1">
      <c r="B16" s="2623" t="s">
        <v>1842</v>
      </c>
      <c r="F16" s="2631" t="str">
        <f>'Part I-Project Identification'!F17</f>
        <v xml:space="preserve">lauren.valdez@redwoodhousing.com </v>
      </c>
      <c r="G16" s="2631"/>
      <c r="H16" s="2631"/>
      <c r="I16" s="2631"/>
      <c r="J16" s="2631"/>
      <c r="K16" s="2631"/>
      <c r="L16" s="2631"/>
      <c r="M16" s="2623" t="s">
        <v>1838</v>
      </c>
      <c r="N16" s="2628">
        <f>'Part I-Project Identification'!N17</f>
        <v>2066882087</v>
      </c>
      <c r="O16" s="2628"/>
      <c r="P16" s="2628"/>
      <c r="Q16" s="357"/>
      <c r="R16" s="357"/>
      <c r="S16" s="357"/>
      <c r="U16" s="2630"/>
      <c r="V16" s="2630"/>
      <c r="W16" s="2630"/>
      <c r="X16" s="2630"/>
      <c r="Z16" s="1622">
        <v>19</v>
      </c>
    </row>
    <row r="17" spans="1:26">
      <c r="A17" s="2615"/>
      <c r="B17" s="2614" t="s">
        <v>3673</v>
      </c>
      <c r="C17" s="378"/>
      <c r="D17" s="1819"/>
      <c r="E17" s="1819"/>
      <c r="F17" s="1819"/>
      <c r="G17" s="1819"/>
      <c r="H17" s="1622"/>
      <c r="I17" s="1819"/>
      <c r="J17" s="378"/>
      <c r="K17" s="1819"/>
      <c r="L17" s="1819"/>
      <c r="M17" s="1819"/>
      <c r="N17" s="1819"/>
      <c r="O17" s="1819"/>
      <c r="P17" s="1622"/>
    </row>
    <row r="18" spans="1:26">
      <c r="A18" s="1819"/>
      <c r="B18" s="1819" t="s">
        <v>3297</v>
      </c>
      <c r="C18" s="1819"/>
      <c r="D18" s="1819"/>
      <c r="E18" s="1819"/>
      <c r="F18" s="1819" t="str">
        <f>'Part I-Project Identification'!F19</f>
        <v>Richmond Summit Apartments, LP</v>
      </c>
      <c r="G18" s="1819"/>
      <c r="H18" s="1819"/>
      <c r="I18" s="1819" t="s">
        <v>1670</v>
      </c>
      <c r="J18" s="1819" t="str">
        <f>'Part I-Project Identification'!J19</f>
        <v>Alyssa Alcantara</v>
      </c>
      <c r="K18" s="1819"/>
      <c r="L18" s="1819"/>
      <c r="M18" s="2623" t="s">
        <v>1839</v>
      </c>
      <c r="N18" s="1819" t="str">
        <f>'Part I-Project Identification'!N19</f>
        <v>Senior Associate</v>
      </c>
      <c r="O18" s="1819"/>
      <c r="P18" s="1819"/>
    </row>
    <row r="19" spans="1:26" s="1819" customFormat="1" ht="12.75" customHeight="1">
      <c r="B19" s="2623" t="s">
        <v>1599</v>
      </c>
      <c r="F19" s="2628">
        <f>'Part I-Project Identification'!F20</f>
        <v>2066492939</v>
      </c>
      <c r="G19" s="2628"/>
      <c r="H19" s="2628"/>
      <c r="I19" s="2623" t="s">
        <v>1598</v>
      </c>
      <c r="J19" s="2629">
        <f>'Part I-Project Identification'!J20</f>
        <v>0</v>
      </c>
      <c r="M19" s="2623" t="s">
        <v>1600</v>
      </c>
      <c r="N19" s="2628">
        <f>'Part I-Project Identification'!N20</f>
        <v>2066492939</v>
      </c>
      <c r="O19" s="2628"/>
      <c r="P19" s="2628"/>
      <c r="Q19" s="357"/>
      <c r="R19" s="357"/>
      <c r="S19" s="357"/>
      <c r="V19" s="2630"/>
      <c r="W19" s="2630"/>
      <c r="X19" s="2630"/>
      <c r="Z19" s="1622">
        <v>18</v>
      </c>
    </row>
    <row r="20" spans="1:26" s="1819" customFormat="1">
      <c r="B20" s="2623" t="s">
        <v>1842</v>
      </c>
      <c r="F20" s="2631" t="str">
        <f>'Part I-Project Identification'!F21</f>
        <v>alyssa.alcantara@redwoodhousing.com</v>
      </c>
      <c r="G20" s="2631"/>
      <c r="H20" s="2631"/>
      <c r="I20" s="2631"/>
      <c r="J20" s="2631"/>
      <c r="K20" s="2631"/>
      <c r="L20" s="2631"/>
      <c r="M20" s="2623" t="s">
        <v>1838</v>
      </c>
      <c r="N20" s="2628">
        <f>'Part I-Project Identification'!N21</f>
        <v>2066492939</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Richmond Summit</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Augusta</v>
      </c>
      <c r="G25" s="1819"/>
      <c r="H25" s="1819"/>
      <c r="I25" s="2632" t="s">
        <v>576</v>
      </c>
      <c r="J25" s="1819" t="str">
        <f>'Part I-Project Identification'!J26</f>
        <v>Richmond</v>
      </c>
      <c r="K25" s="1819"/>
      <c r="L25" s="1819"/>
      <c r="M25" s="2623" t="s">
        <v>426</v>
      </c>
      <c r="N25" s="1819"/>
      <c r="O25" s="1819"/>
      <c r="P25" s="2545" t="str">
        <f>'Part I-Project Identification'!P26</f>
        <v>No</v>
      </c>
    </row>
    <row r="26" spans="1:26" ht="13.5">
      <c r="A26" s="2615"/>
      <c r="B26" s="1819" t="s">
        <v>3908</v>
      </c>
      <c r="C26" s="2633"/>
      <c r="D26" s="1681"/>
      <c r="E26" s="1681"/>
      <c r="F26" s="1819" t="str">
        <f>'Part I-Project Identification'!F27</f>
        <v>City Limits</v>
      </c>
      <c r="G26" s="1819"/>
      <c r="H26" s="1819"/>
      <c r="I26" s="1622"/>
      <c r="J26" s="379" t="s">
        <v>6725</v>
      </c>
      <c r="K26" s="1622"/>
      <c r="L26" s="1819"/>
      <c r="M26" s="2623" t="s">
        <v>6668</v>
      </c>
      <c r="N26" s="1819"/>
      <c r="O26" s="2634">
        <f>'Part I-Project Identification'!O27</f>
        <v>9.26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Augusta-Richmond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6655</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6654</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3934</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Richmond Summit, Augusta, Richmond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6081</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Yes</v>
      </c>
      <c r="C50" s="2619" t="s">
        <v>3878</v>
      </c>
      <c r="D50" s="1819"/>
      <c r="E50" s="1622" t="str">
        <f>'Part II-Sources of Funds'!E7</f>
        <v>No</v>
      </c>
      <c r="F50" s="2619" t="s">
        <v>6082</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6662</v>
      </c>
      <c r="D51" s="2641"/>
      <c r="E51" s="2641"/>
      <c r="F51" s="2641" t="s">
        <v>6665</v>
      </c>
      <c r="G51" s="2641"/>
      <c r="H51" s="2641" t="str">
        <f>'Part II-Sources of Funds'!H8</f>
        <v>Specify Other HOME Source here</v>
      </c>
      <c r="I51" s="2641"/>
      <c r="J51" s="2641"/>
      <c r="K51" s="2641"/>
      <c r="L51" s="1622" t="str">
        <f>'Part II-Sources of Funds'!L8</f>
        <v>No</v>
      </c>
      <c r="M51" s="2619" t="s">
        <v>6667</v>
      </c>
      <c r="N51" s="2641"/>
      <c r="O51" s="2641"/>
      <c r="P51" s="2639"/>
      <c r="Q51" s="2639"/>
    </row>
    <row r="52" spans="1:17" ht="13.5">
      <c r="A52" s="2615"/>
      <c r="B52" s="1622" t="str">
        <f>'Part II-Sources of Funds'!B9</f>
        <v>No</v>
      </c>
      <c r="C52" s="2641" t="s">
        <v>3302</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3879</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5">
      <c r="A56" s="2615"/>
      <c r="B56" s="1622" t="str">
        <f>'Part II-Sources of Funds'!B13</f>
        <v>Yes</v>
      </c>
      <c r="C56" s="2619" t="s">
        <v>6664</v>
      </c>
      <c r="D56" s="2641"/>
      <c r="E56" s="1622" t="str">
        <f>'Part II-Sources of Funds'!E13</f>
        <v>No</v>
      </c>
      <c r="F56" s="2619" t="s">
        <v>6666</v>
      </c>
      <c r="G56" s="2641"/>
      <c r="H56" s="2641" t="str">
        <f>'Part II-Sources of Funds'!H13</f>
        <v>Specify Other PBRA Source here</v>
      </c>
      <c r="I56" s="2641"/>
      <c r="J56" s="2641"/>
      <c r="K56" s="2641"/>
      <c r="L56" s="1622" t="str">
        <f>'Part II-Sources of Funds'!L13</f>
        <v>No</v>
      </c>
      <c r="M56" s="2641" t="s">
        <v>6080</v>
      </c>
      <c r="N56" s="2641"/>
      <c r="O56" s="2641"/>
      <c r="P56" s="2641"/>
      <c r="Q56" s="2641"/>
    </row>
    <row r="57" spans="1:17" ht="13.5">
      <c r="A57" s="2615"/>
      <c r="B57" s="1622" t="str">
        <f>'Part II-Sources of Funds'!B14</f>
        <v>No</v>
      </c>
      <c r="C57" s="2641" t="s">
        <v>2397</v>
      </c>
      <c r="D57" s="2641"/>
      <c r="E57" s="1622" t="str">
        <f>'Part II-Sources of Funds'!E14</f>
        <v>No</v>
      </c>
      <c r="F57" s="2619" t="s">
        <v>3301</v>
      </c>
      <c r="G57" s="2641"/>
      <c r="H57" s="2641"/>
      <c r="I57" s="2641"/>
      <c r="J57" s="2641"/>
      <c r="K57" s="2641"/>
      <c r="L57" s="1622" t="str">
        <f>'Part II-Sources of Funds'!L14</f>
        <v>No</v>
      </c>
      <c r="M57" s="2641" t="s">
        <v>6712</v>
      </c>
      <c r="N57" s="2641"/>
      <c r="O57" s="2641"/>
      <c r="P57" s="2641"/>
      <c r="Q57" s="2641"/>
    </row>
    <row r="58" spans="1:17" ht="13.5">
      <c r="A58" s="2615"/>
      <c r="B58" s="1622" t="str">
        <f>'Part II-Sources of Funds'!B15</f>
        <v>No</v>
      </c>
      <c r="C58" s="2641" t="s">
        <v>3219</v>
      </c>
      <c r="D58" s="2641"/>
      <c r="E58" s="1622" t="str">
        <f>'Part II-Sources of Funds'!E15</f>
        <v>No</v>
      </c>
      <c r="F58" s="2619" t="s">
        <v>6083</v>
      </c>
      <c r="G58" s="2641"/>
      <c r="H58" s="2641"/>
      <c r="I58" s="2641"/>
      <c r="J58" s="2641"/>
      <c r="K58" s="2641"/>
      <c r="L58" s="1622" t="str">
        <f>'Part II-Sources of Funds'!L15</f>
        <v>No</v>
      </c>
      <c r="M58" s="2644" t="s">
        <v>6084</v>
      </c>
      <c r="N58" s="2641"/>
      <c r="O58" s="2641"/>
      <c r="P58" s="2641"/>
      <c r="Q58" s="2641"/>
    </row>
    <row r="59" spans="1:17" ht="13.5">
      <c r="A59" s="2615"/>
      <c r="B59" s="1622" t="str">
        <f>'Part II-Sources of Funds'!B16</f>
        <v>No</v>
      </c>
      <c r="C59" s="2619" t="s">
        <v>1673</v>
      </c>
      <c r="D59" s="2641"/>
      <c r="E59" s="1622" t="str">
        <f>'Part II-Sources of Funds'!E16</f>
        <v>No</v>
      </c>
      <c r="F59" s="2619" t="s">
        <v>6501</v>
      </c>
      <c r="G59" s="2641"/>
      <c r="H59" s="2641"/>
      <c r="I59" s="2643">
        <f>'Part II-Sources of Funds'!I16</f>
        <v>0</v>
      </c>
      <c r="J59" s="359"/>
      <c r="K59" s="2641"/>
      <c r="L59" s="1622" t="str">
        <f>'Part II-Sources of Funds'!L16</f>
        <v>No</v>
      </c>
      <c r="M59" s="2644" t="s">
        <v>6079</v>
      </c>
      <c r="N59" s="2641"/>
      <c r="O59" s="2641"/>
      <c r="P59" s="2641"/>
      <c r="Q59" s="2641"/>
    </row>
    <row r="60" spans="1:17" ht="13.5">
      <c r="A60" s="2615"/>
      <c r="B60" s="2641" t="s">
        <v>3880</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3846</v>
      </c>
      <c r="M64" s="1819"/>
      <c r="N64" s="1819" t="s">
        <v>1410</v>
      </c>
      <c r="O64" s="1819"/>
      <c r="P64" s="1819" t="s">
        <v>1523</v>
      </c>
      <c r="Q64" s="1819"/>
    </row>
    <row r="65" spans="1:17" ht="51">
      <c r="A65" s="1819"/>
      <c r="B65" s="1819" t="s">
        <v>1486</v>
      </c>
      <c r="C65" s="1819"/>
      <c r="D65" s="1819"/>
      <c r="E65" s="1819"/>
      <c r="F65" s="1819"/>
      <c r="G65" s="1819"/>
      <c r="H65" s="2645" t="str">
        <f>'Part II-Sources of Funds'!H22</f>
        <v>Berkadia Commercial Mortgage, LLC</v>
      </c>
      <c r="I65" s="2645"/>
      <c r="J65" s="2645"/>
      <c r="K65" s="2645"/>
      <c r="L65" s="2547">
        <f>'Part II-Sources of Funds'!L22</f>
        <v>24350000</v>
      </c>
      <c r="M65" s="2547"/>
      <c r="N65" s="2548">
        <f>'Part II-Sources of Funds'!N22</f>
        <v>0.05</v>
      </c>
      <c r="O65" s="2548"/>
      <c r="P65" s="2549">
        <f>'Part II-Sources of Funds'!P22</f>
        <v>36</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51">
      <c r="A70" s="1819"/>
      <c r="B70" s="1819" t="s">
        <v>595</v>
      </c>
      <c r="C70" s="1819"/>
      <c r="D70" s="1819"/>
      <c r="E70" s="1819"/>
      <c r="F70" s="2641"/>
      <c r="G70" s="2641"/>
      <c r="H70" s="2645" t="str">
        <f>'Part II-Sources of Funds'!H27</f>
        <v>Redwood Housing Services, LLC</v>
      </c>
      <c r="I70" s="2645"/>
      <c r="J70" s="2645"/>
      <c r="K70" s="2645"/>
      <c r="L70" s="2547">
        <f>'Part II-Sources of Funds'!L27</f>
        <v>910818</v>
      </c>
      <c r="M70" s="2547"/>
      <c r="N70" s="2548"/>
      <c r="O70" s="2548"/>
      <c r="P70" s="1819"/>
      <c r="Q70" s="1819"/>
    </row>
    <row r="71" spans="1:17" ht="13.5">
      <c r="A71" s="1819"/>
      <c r="B71" s="1819" t="s">
        <v>746</v>
      </c>
      <c r="C71" s="1819"/>
      <c r="D71" s="1819"/>
      <c r="E71" s="1819"/>
      <c r="F71" s="2641"/>
      <c r="G71" s="2641"/>
      <c r="H71" s="2645" t="str">
        <f>'Part II-Sources of Funds'!H28</f>
        <v>US bancorp</v>
      </c>
      <c r="I71" s="2645"/>
      <c r="J71" s="2645"/>
      <c r="K71" s="2645"/>
      <c r="L71" s="2547">
        <f>'Part II-Sources of Funds'!L28</f>
        <v>2381028.7284694491</v>
      </c>
      <c r="M71" s="2547"/>
      <c r="N71" s="1819"/>
      <c r="O71" s="2641"/>
      <c r="P71" s="2641"/>
      <c r="Q71" s="1819"/>
    </row>
    <row r="72" spans="1:17" ht="13.5">
      <c r="A72" s="1819"/>
      <c r="B72" s="1819" t="s">
        <v>747</v>
      </c>
      <c r="C72" s="1819"/>
      <c r="D72" s="1819"/>
      <c r="E72" s="1819"/>
      <c r="F72" s="2641"/>
      <c r="G72" s="2641"/>
      <c r="H72" s="2645" t="str">
        <f>'Part II-Sources of Funds'!H29</f>
        <v>US bancorp</v>
      </c>
      <c r="I72" s="2645"/>
      <c r="J72" s="2645"/>
      <c r="K72" s="2645"/>
      <c r="L72" s="2547">
        <f>'Part II-Sources of Funds'!L29</f>
        <v>2016423.3374999999</v>
      </c>
      <c r="M72" s="2547"/>
      <c r="N72" s="1819"/>
      <c r="O72" s="2641"/>
      <c r="P72" s="2641"/>
      <c r="Q72" s="1819"/>
    </row>
    <row r="73" spans="1:17" ht="25.5">
      <c r="A73" s="1819"/>
      <c r="B73" s="1819" t="s">
        <v>232</v>
      </c>
      <c r="C73" s="1819"/>
      <c r="D73" s="2645" t="str">
        <f>'Part II-Sources of Funds'!D30</f>
        <v>Historic Tax Credit</v>
      </c>
      <c r="E73" s="2645"/>
      <c r="F73" s="2645"/>
      <c r="G73" s="2645"/>
      <c r="H73" s="2645" t="str">
        <f>'Part II-Sources of Funds'!H30</f>
        <v>US bancorp</v>
      </c>
      <c r="I73" s="2645"/>
      <c r="J73" s="2645"/>
      <c r="K73" s="2645"/>
      <c r="L73" s="2547">
        <f>'Part II-Sources of Funds'!L30</f>
        <v>353532.06387779693</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30011802.129847247</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29854999.201668195</v>
      </c>
      <c r="M77" s="2550"/>
      <c r="N77" s="2646"/>
      <c r="O77" s="2641"/>
      <c r="P77" s="2641"/>
      <c r="Q77" s="2641"/>
    </row>
    <row r="78" spans="1:17" ht="13.5">
      <c r="A78" s="1819"/>
      <c r="B78" s="2623" t="s">
        <v>2002</v>
      </c>
      <c r="C78" s="1819"/>
      <c r="D78" s="1819"/>
      <c r="E78" s="1819"/>
      <c r="F78" s="1819"/>
      <c r="G78" s="1819"/>
      <c r="H78" s="1819"/>
      <c r="I78" s="1819"/>
      <c r="J78" s="2641"/>
      <c r="K78" s="2641"/>
      <c r="L78" s="2647">
        <f>L76-L77</f>
        <v>156802.92817905173</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3845</v>
      </c>
      <c r="J82" s="1819"/>
      <c r="K82" s="1622" t="s">
        <v>1675</v>
      </c>
      <c r="L82" s="1622" t="s">
        <v>2046</v>
      </c>
      <c r="M82" s="1622" t="s">
        <v>2046</v>
      </c>
      <c r="N82" s="1819" t="s">
        <v>69</v>
      </c>
      <c r="O82" s="1819"/>
      <c r="P82" s="2646"/>
      <c r="Q82" s="2646"/>
    </row>
    <row r="83" spans="1:17" ht="51">
      <c r="A83" s="1819"/>
      <c r="B83" s="1819" t="s">
        <v>2402</v>
      </c>
      <c r="C83" s="1819"/>
      <c r="D83" s="1819"/>
      <c r="E83" s="2645" t="str">
        <f>'Part II-Sources of Funds'!E40</f>
        <v>Berkadia Commercial Mortgage, LLC</v>
      </c>
      <c r="F83" s="2645"/>
      <c r="G83" s="2645"/>
      <c r="H83" s="2645"/>
      <c r="I83" s="2648">
        <f>'Part II-Sources of Funds'!I40</f>
        <v>10970000</v>
      </c>
      <c r="J83" s="1819"/>
      <c r="K83" s="2649">
        <f>'Part II-Sources of Funds'!K40</f>
        <v>0.05</v>
      </c>
      <c r="L83" s="1622">
        <f>'Part II-Sources of Funds'!L40</f>
        <v>17</v>
      </c>
      <c r="M83" s="1622">
        <f>'Part II-Sources of Funds'!M40</f>
        <v>40</v>
      </c>
      <c r="N83" s="1819" t="str">
        <f>'Part II-Sources of Funds'!N40</f>
        <v>Amortizing</v>
      </c>
      <c r="O83" s="1819"/>
      <c r="P83" s="2551">
        <f>'Part II-Sources of Funds'!P40</f>
        <v>634763.60500293621</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3945</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0.29492606749960409</v>
      </c>
      <c r="E88" s="2645" t="str">
        <f>'Part II-Sources of Funds'!E45</f>
        <v>Redwood Housing Services, LLC</v>
      </c>
      <c r="F88" s="2645"/>
      <c r="G88" s="2645"/>
      <c r="H88" s="2645"/>
      <c r="I88" s="2648">
        <f>'Part II-Sources of Funds'!I45</f>
        <v>589852.13499920815</v>
      </c>
      <c r="J88" s="1819"/>
      <c r="K88" s="2649">
        <f>'Part II-Sources of Funds'!K45</f>
        <v>0</v>
      </c>
      <c r="L88" s="1622">
        <f>'Part II-Sources of Funds'!L45</f>
        <v>15</v>
      </c>
      <c r="M88" s="1622">
        <f>'Part II-Sources of Funds'!M45</f>
        <v>15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3407</v>
      </c>
      <c r="C90" s="1819"/>
      <c r="D90" s="2641"/>
      <c r="E90" s="2641" t="s">
        <v>3365</v>
      </c>
      <c r="F90" s="2653">
        <f>'Part II-Sources of Funds'!F47</f>
        <v>3377571.8244008021</v>
      </c>
      <c r="G90" s="2641"/>
      <c r="H90" s="2654" t="s">
        <v>3406</v>
      </c>
      <c r="I90" s="2653">
        <f>'Part II-Sources of Funds'!I47</f>
        <v>589852.07228203095</v>
      </c>
      <c r="J90" s="2641"/>
      <c r="K90" s="2654" t="s">
        <v>3408</v>
      </c>
      <c r="L90" s="2655">
        <f>'Part II-Sources of Funds'!L47</f>
        <v>0.17463790644531255</v>
      </c>
      <c r="M90" s="2655"/>
      <c r="N90" s="2551" t="s">
        <v>3849</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t="str">
        <f>'Part II-Sources of Funds'!E51</f>
        <v>US bancorp</v>
      </c>
      <c r="F94" s="2645"/>
      <c r="G94" s="2645"/>
      <c r="H94" s="2645"/>
      <c r="I94" s="2648">
        <f>'Part II-Sources of Funds'!I51</f>
        <v>9170582.8499999996</v>
      </c>
      <c r="J94" s="1819"/>
      <c r="K94" s="2641"/>
      <c r="L94" s="2659">
        <f>'Part II-Sources of Funds'!L51</f>
        <v>9171500</v>
      </c>
      <c r="M94" s="2659"/>
      <c r="N94" s="2660">
        <f>I94-L94</f>
        <v>-917.15000000037253</v>
      </c>
      <c r="O94" s="2660"/>
      <c r="P94" s="2661">
        <f>I94/I104</f>
        <v>0.29254197721767855</v>
      </c>
      <c r="Q94" s="1819"/>
    </row>
    <row r="95" spans="1:17" ht="13.5">
      <c r="A95" s="1819"/>
      <c r="B95" s="1819" t="s">
        <v>747</v>
      </c>
      <c r="C95" s="1819"/>
      <c r="D95" s="1819"/>
      <c r="E95" s="2645" t="str">
        <f>'Part II-Sources of Funds'!E52</f>
        <v>US bancorp</v>
      </c>
      <c r="F95" s="2645"/>
      <c r="G95" s="2645"/>
      <c r="H95" s="2645"/>
      <c r="I95" s="2648">
        <f>'Part II-Sources of Funds'!I52</f>
        <v>8065693.3806110146</v>
      </c>
      <c r="J95" s="1819"/>
      <c r="K95" s="2641"/>
      <c r="L95" s="2659">
        <f>'Part II-Sources of Funds'!L52</f>
        <v>8066500</v>
      </c>
      <c r="M95" s="2659"/>
      <c r="N95" s="2660">
        <f>I95-L95</f>
        <v>-806.61938898544759</v>
      </c>
      <c r="O95" s="2660"/>
      <c r="P95" s="2661">
        <f>I95/I104</f>
        <v>0.25729595684264367</v>
      </c>
      <c r="Q95" s="1819"/>
    </row>
    <row r="96" spans="1:17" ht="13.5">
      <c r="A96" s="1819"/>
      <c r="B96" s="1819" t="s">
        <v>1331</v>
      </c>
      <c r="C96" s="1819"/>
      <c r="D96" s="1819"/>
      <c r="E96" s="2645" t="str">
        <f>'Part II-Sources of Funds'!E53</f>
        <v>US bancorp</v>
      </c>
      <c r="F96" s="2645"/>
      <c r="G96" s="2645"/>
      <c r="H96" s="2645"/>
      <c r="I96" s="2648">
        <f>'Part II-Sources of Funds'!I53</f>
        <v>1767660.3193889847</v>
      </c>
      <c r="J96" s="1819"/>
      <c r="K96" s="2641"/>
      <c r="L96" s="2641"/>
      <c r="M96" s="2641"/>
      <c r="N96" s="2641"/>
      <c r="O96" s="2641"/>
      <c r="P96" s="2661">
        <f>SUM(P94:P95)</f>
        <v>0.54983793406032222</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787732.44728000008</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31351521.13227921</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31347921.201668195</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3599.9306110143661</v>
      </c>
      <c r="J105" s="2647"/>
      <c r="K105" s="1819"/>
      <c r="L105" s="1622"/>
      <c r="M105" s="2645"/>
      <c r="N105" s="2645"/>
      <c r="O105" s="2645"/>
      <c r="P105" s="2645"/>
      <c r="Q105" s="1819"/>
    </row>
    <row r="106" spans="1:17">
      <c r="A106" s="1819" t="s">
        <v>3946</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3.5">
      <c r="A109" s="2639">
        <f>'Part II-Sources of Funds'!A66</f>
        <v>0</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Richmond Summit,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12500</v>
      </c>
      <c r="H122" s="2547"/>
      <c r="I122" s="1819"/>
      <c r="J122" s="2547">
        <f>'Part III-A-Uses of Funds'!J9</f>
        <v>0</v>
      </c>
      <c r="K122" s="2547"/>
      <c r="L122" s="2545"/>
      <c r="M122" s="2547">
        <f>'Part III-A-Uses of Funds'!M9</f>
        <v>0</v>
      </c>
      <c r="N122" s="2547"/>
      <c r="O122" s="1819"/>
      <c r="P122" s="2547">
        <f>'Part III-A-Uses of Funds'!P9</f>
        <v>12500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17500</v>
      </c>
      <c r="H123" s="2547"/>
      <c r="I123" s="1819"/>
      <c r="J123" s="2547">
        <f>'Part III-A-Uses of Funds'!J10</f>
        <v>0</v>
      </c>
      <c r="K123" s="2547"/>
      <c r="L123" s="2545"/>
      <c r="M123" s="2547">
        <f>'Part III-A-Uses of Funds'!M10</f>
        <v>0</v>
      </c>
      <c r="N123" s="2547"/>
      <c r="O123" s="1819"/>
      <c r="P123" s="2547">
        <f>'Part III-A-Uses of Funds'!P10</f>
        <v>17500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15000</v>
      </c>
      <c r="H124" s="2547"/>
      <c r="I124" s="1819"/>
      <c r="J124" s="2547">
        <f>'Part III-A-Uses of Funds'!J11</f>
        <v>0</v>
      </c>
      <c r="K124" s="2547"/>
      <c r="L124" s="2545"/>
      <c r="M124" s="2547">
        <f>'Part III-A-Uses of Funds'!M11</f>
        <v>0</v>
      </c>
      <c r="N124" s="2547"/>
      <c r="O124" s="1819"/>
      <c r="P124" s="2547">
        <f>'Part III-A-Uses of Funds'!P11</f>
        <v>15000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0</v>
      </c>
      <c r="H126" s="2547"/>
      <c r="I126" s="1819"/>
      <c r="J126" s="2547">
        <f>'Part III-A-Uses of Funds'!J13</f>
        <v>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20000</v>
      </c>
      <c r="H127" s="2547"/>
      <c r="I127" s="1819"/>
      <c r="J127" s="2547">
        <f>'Part III-A-Uses of Funds'!J14</f>
        <v>0</v>
      </c>
      <c r="K127" s="2547"/>
      <c r="L127" s="2545"/>
      <c r="M127" s="2547">
        <f>'Part III-A-Uses of Funds'!M14</f>
        <v>0</v>
      </c>
      <c r="N127" s="2547"/>
      <c r="O127" s="1819"/>
      <c r="P127" s="2547">
        <f>'Part III-A-Uses of Funds'!P14</f>
        <v>20000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6273</v>
      </c>
      <c r="C128" s="2667" t="str">
        <f>'Part III-A-Uses of Funds'!C15</f>
        <v>PCNA</v>
      </c>
      <c r="D128" s="2667"/>
      <c r="E128" s="2667"/>
      <c r="F128" s="2667"/>
      <c r="G128" s="2547">
        <f>'Part III-A-Uses of Funds'!G15</f>
        <v>25000</v>
      </c>
      <c r="H128" s="2547"/>
      <c r="I128" s="1819"/>
      <c r="J128" s="2547">
        <f>'Part III-A-Uses of Funds'!J15</f>
        <v>0</v>
      </c>
      <c r="K128" s="2547"/>
      <c r="L128" s="2545"/>
      <c r="M128" s="2547">
        <f>'Part III-A-Uses of Funds'!M15</f>
        <v>0</v>
      </c>
      <c r="N128" s="2547"/>
      <c r="O128" s="1819"/>
      <c r="P128" s="2547">
        <f>'Part III-A-Uses of Funds'!P15</f>
        <v>25000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6274</v>
      </c>
      <c r="C129" s="2667" t="str">
        <f>'Part III-A-Uses of Funds'!C16</f>
        <v>Historical Consultant Report</v>
      </c>
      <c r="D129" s="2667"/>
      <c r="E129" s="2667"/>
      <c r="F129" s="2667"/>
      <c r="G129" s="2547">
        <f>'Part III-A-Uses of Funds'!G16</f>
        <v>50000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50000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6275</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140000</v>
      </c>
      <c r="H131" s="2547"/>
      <c r="I131" s="1819"/>
      <c r="J131" s="2547">
        <f>SUM(J122:J130)</f>
        <v>0</v>
      </c>
      <c r="K131" s="2547"/>
      <c r="L131" s="2545"/>
      <c r="M131" s="2547">
        <f>SUM(M122:M130)</f>
        <v>0</v>
      </c>
      <c r="N131" s="2547"/>
      <c r="O131" s="1819"/>
      <c r="P131" s="2547">
        <f>SUM(P122:P130)</f>
        <v>90000</v>
      </c>
      <c r="Q131" s="2547"/>
      <c r="R131" s="1819"/>
      <c r="S131" s="2547">
        <f>SUM(S122:S130)</f>
        <v>50000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76943.844492440607</v>
      </c>
      <c r="G133" s="2547">
        <f>'Part III-A-Uses of Funds'!G20</f>
        <v>712500</v>
      </c>
      <c r="H133" s="2547"/>
      <c r="I133" s="1819"/>
      <c r="J133" s="2545"/>
      <c r="K133" s="2547"/>
      <c r="L133" s="2545"/>
      <c r="M133" s="2545"/>
      <c r="N133" s="2547"/>
      <c r="O133" s="1819"/>
      <c r="P133" s="2545"/>
      <c r="Q133" s="2547"/>
      <c r="R133" s="1819"/>
      <c r="S133" s="2547">
        <f>'Part III-A-Uses of Funds'!S20</f>
        <v>712500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8787500</v>
      </c>
      <c r="H136" s="2547"/>
      <c r="I136" s="1819"/>
      <c r="J136" s="2545"/>
      <c r="K136" s="2547"/>
      <c r="L136" s="2545"/>
      <c r="M136" s="2547">
        <f>'Part III-A-Uses of Funds'!M23</f>
        <v>0</v>
      </c>
      <c r="N136" s="2547"/>
      <c r="O136" s="1819"/>
      <c r="P136" s="2545"/>
      <c r="Q136" s="2547"/>
      <c r="R136" s="1819"/>
      <c r="S136" s="2547">
        <f>'Part III-A-Uses of Funds'!S23</f>
        <v>8787500</v>
      </c>
      <c r="T136" s="2547"/>
      <c r="U136" s="1819"/>
      <c r="V136" s="2665"/>
    </row>
    <row r="137" spans="1:22">
      <c r="A137" s="1819"/>
      <c r="B137" s="1819"/>
      <c r="C137" s="1819"/>
      <c r="D137" s="1819"/>
      <c r="E137" s="1819"/>
      <c r="F137" s="2669" t="s">
        <v>184</v>
      </c>
      <c r="G137" s="2547">
        <f>SUM(G133:G136)</f>
        <v>9500000</v>
      </c>
      <c r="H137" s="2547"/>
      <c r="I137" s="1819"/>
      <c r="J137" s="2545"/>
      <c r="K137" s="2547"/>
      <c r="L137" s="2545"/>
      <c r="M137" s="2547">
        <f>SUM(M135:M136)</f>
        <v>0</v>
      </c>
      <c r="N137" s="2547"/>
      <c r="O137" s="1819"/>
      <c r="P137" s="2545"/>
      <c r="Q137" s="2547"/>
      <c r="R137" s="1819"/>
      <c r="S137" s="2547">
        <f>SUM(S133:S136)</f>
        <v>9500000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7067.7105831533481</v>
      </c>
      <c r="G139" s="2547">
        <f>'Part III-A-Uses of Funds'!G26</f>
        <v>65447</v>
      </c>
      <c r="H139" s="2547"/>
      <c r="I139" s="1819"/>
      <c r="J139" s="2547">
        <f>'Part III-A-Uses of Funds'!J26</f>
        <v>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65447</v>
      </c>
      <c r="H141" s="2547"/>
      <c r="I141" s="1819"/>
      <c r="J141" s="2547">
        <f>SUM(J139:J140)</f>
        <v>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12534553</v>
      </c>
      <c r="H144" s="2547"/>
      <c r="I144" s="1819"/>
      <c r="J144" s="2547">
        <f>'Part III-A-Uses of Funds'!J31</f>
        <v>0</v>
      </c>
      <c r="K144" s="2547"/>
      <c r="L144" s="2545"/>
      <c r="M144" s="2547">
        <f>'Part III-A-Uses of Funds'!M31</f>
        <v>0</v>
      </c>
      <c r="N144" s="2547"/>
      <c r="O144" s="1819"/>
      <c r="P144" s="2547">
        <f>'Part III-A-Uses of Funds'!P31</f>
        <v>12534553</v>
      </c>
      <c r="Q144" s="2547"/>
      <c r="R144" s="1819"/>
      <c r="S144" s="2547">
        <f>'Part III-A-Uses of Funds'!S31</f>
        <v>0</v>
      </c>
      <c r="T144" s="2547"/>
      <c r="U144" s="1819"/>
      <c r="V144" s="2665"/>
    </row>
    <row r="145" spans="1:22">
      <c r="A145" s="1819"/>
      <c r="B145" s="1819" t="s">
        <v>6090</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6088</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6089</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12534553</v>
      </c>
      <c r="H149" s="2547"/>
      <c r="I149" s="1819"/>
      <c r="J149" s="2547">
        <f>SUM(J143:J148)</f>
        <v>0</v>
      </c>
      <c r="K149" s="2547"/>
      <c r="L149" s="2545"/>
      <c r="M149" s="2547">
        <f>SUM(M143:M148)</f>
        <v>0</v>
      </c>
      <c r="N149" s="2547"/>
      <c r="O149" s="1819"/>
      <c r="P149" s="2547">
        <f>SUM(P143:P148)</f>
        <v>12534553</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756000</v>
      </c>
      <c r="F151" s="2676">
        <f>IF(($G$24+$G$32)=0,0,G151/($G$24+$G$32))</f>
        <v>0</v>
      </c>
      <c r="G151" s="2547">
        <f>'Part III-A-Uses of Funds'!G38</f>
        <v>756000</v>
      </c>
      <c r="H151" s="2547"/>
      <c r="I151" s="1819"/>
      <c r="J151" s="2547">
        <f>'Part III-A-Uses of Funds'!J38</f>
        <v>0</v>
      </c>
      <c r="K151" s="2547"/>
      <c r="L151" s="2545"/>
      <c r="M151" s="2547">
        <f>'Part III-A-Uses of Funds'!M38</f>
        <v>0</v>
      </c>
      <c r="N151" s="2547"/>
      <c r="O151" s="1819"/>
      <c r="P151" s="2547">
        <f>'Part III-A-Uses of Funds'!P38</f>
        <v>756000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252000</v>
      </c>
      <c r="F152" s="2676">
        <f>IF(($G$24+$G$32)=0,0,G152/($G$24+$G$32))</f>
        <v>0</v>
      </c>
      <c r="G152" s="2547">
        <f>'Part III-A-Uses of Funds'!G39</f>
        <v>252000</v>
      </c>
      <c r="H152" s="2547"/>
      <c r="I152" s="378"/>
      <c r="J152" s="2547">
        <f>'Part III-A-Uses of Funds'!J39</f>
        <v>0</v>
      </c>
      <c r="K152" s="2547"/>
      <c r="L152" s="2545"/>
      <c r="M152" s="2547">
        <f>'Part III-A-Uses of Funds'!M39</f>
        <v>0</v>
      </c>
      <c r="N152" s="2547"/>
      <c r="O152" s="1819"/>
      <c r="P152" s="2547">
        <f>'Part III-A-Uses of Funds'!P39</f>
        <v>252000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756000</v>
      </c>
      <c r="F153" s="2676">
        <f>IF(($G$24+$G$32)=0,0,G153/($G$24+$G$32))</f>
        <v>0</v>
      </c>
      <c r="G153" s="2547">
        <f>'Part III-A-Uses of Funds'!G40</f>
        <v>756000</v>
      </c>
      <c r="H153" s="2547"/>
      <c r="I153" s="378"/>
      <c r="J153" s="2547">
        <f>'Part III-A-Uses of Funds'!J40</f>
        <v>0</v>
      </c>
      <c r="K153" s="2547"/>
      <c r="L153" s="2545"/>
      <c r="M153" s="2547">
        <f>'Part III-A-Uses of Funds'!M40</f>
        <v>0</v>
      </c>
      <c r="N153" s="2547"/>
      <c r="O153" s="1819"/>
      <c r="P153" s="2547">
        <f>'Part III-A-Uses of Funds'!P40</f>
        <v>756000</v>
      </c>
      <c r="Q153" s="2547"/>
      <c r="R153" s="1819"/>
      <c r="S153" s="2547">
        <f>'Part III-A-Uses of Funds'!S40</f>
        <v>0</v>
      </c>
      <c r="T153" s="2547"/>
      <c r="U153" s="1819"/>
      <c r="V153" s="2665"/>
    </row>
    <row r="154" spans="1:22" ht="13.5">
      <c r="A154" s="1819"/>
      <c r="B154" s="2622" t="s">
        <v>3226</v>
      </c>
      <c r="C154" s="1819"/>
      <c r="D154" s="2674">
        <f>SUM(D151:D153)</f>
        <v>0.14000000000000001</v>
      </c>
      <c r="E154" s="2677">
        <f>SUM(E151:E153)</f>
        <v>1764000</v>
      </c>
      <c r="F154" s="2669" t="s">
        <v>184</v>
      </c>
      <c r="G154" s="2547">
        <f>SUM(G151:G153)</f>
        <v>1764000</v>
      </c>
      <c r="H154" s="2547"/>
      <c r="I154" s="1819"/>
      <c r="J154" s="2547">
        <f>SUM(J151:J153)</f>
        <v>0</v>
      </c>
      <c r="K154" s="2547"/>
      <c r="L154" s="2545"/>
      <c r="M154" s="2547">
        <f>SUM(M151:M153)</f>
        <v>0</v>
      </c>
      <c r="N154" s="2547"/>
      <c r="O154" s="1819"/>
      <c r="P154" s="2547">
        <f>SUM(P151:P153)</f>
        <v>1764000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6491</v>
      </c>
      <c r="D156" s="1819"/>
      <c r="E156" s="2615"/>
      <c r="F156" s="2615"/>
      <c r="G156" s="2679">
        <f>G141+G149+G154</f>
        <v>14364000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6276</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6956</v>
      </c>
      <c r="C161" s="2681"/>
      <c r="D161" s="1819"/>
      <c r="E161" s="2616" t="s">
        <v>2478</v>
      </c>
      <c r="F161" s="2557">
        <f>C162/'Part V-Revenues &amp; Expenses'!$P$65</f>
        <v>106400</v>
      </c>
      <c r="G161" s="2682" t="s">
        <v>6957</v>
      </c>
      <c r="H161" s="1819"/>
      <c r="I161" s="1819"/>
      <c r="J161" s="2558">
        <f>C162/'Part V-Revenues &amp; Expenses'!$P$67</f>
        <v>106400</v>
      </c>
      <c r="K161" s="2558"/>
      <c r="L161" s="1819"/>
      <c r="M161" s="2683" t="s">
        <v>6477</v>
      </c>
      <c r="N161" s="2683"/>
      <c r="O161" s="1819"/>
      <c r="P161" s="2558">
        <f>C162/'Part V-Revenues &amp; Expenses'!$K$175</f>
        <v>86.919162274517873</v>
      </c>
      <c r="Q161" s="2558"/>
      <c r="R161" s="1819"/>
      <c r="S161" s="2684" t="s">
        <v>6479</v>
      </c>
      <c r="T161" s="2684"/>
      <c r="U161" s="1819"/>
      <c r="V161" s="2665"/>
    </row>
    <row r="162" spans="1:22" ht="13.5">
      <c r="A162" s="1819"/>
      <c r="B162" s="2685" t="s">
        <v>6490</v>
      </c>
      <c r="C162" s="2686">
        <f>G141+G149+G154+G159</f>
        <v>14364000</v>
      </c>
      <c r="D162" s="1819"/>
      <c r="E162" s="2616"/>
      <c r="F162" s="2557">
        <f>C162/'Part V-Revenues &amp; Expenses'!$P$166</f>
        <v>171.28751833434694</v>
      </c>
      <c r="G162" s="2684" t="s">
        <v>6958</v>
      </c>
      <c r="H162" s="1819"/>
      <c r="I162" s="1819"/>
      <c r="J162" s="2558">
        <f>C162/'Part V-Revenues &amp; Expenses'!$P$168</f>
        <v>171.28751833434694</v>
      </c>
      <c r="K162" s="2558"/>
      <c r="L162" s="1819"/>
      <c r="M162" s="2684" t="s">
        <v>6478</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6298</v>
      </c>
      <c r="C167" s="1819"/>
      <c r="D167" s="1819"/>
      <c r="E167" s="1819"/>
      <c r="F167" s="1320" t="s">
        <v>3412</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3411</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1436400</v>
      </c>
      <c r="F168" s="2650">
        <f>G168/C162</f>
        <v>0.1</v>
      </c>
      <c r="G168" s="2547">
        <f>'Part III-A-Uses of Funds'!G55</f>
        <v>1436400</v>
      </c>
      <c r="H168" s="2547"/>
      <c r="I168" s="1819"/>
      <c r="J168" s="2547">
        <f>'Part III-A-Uses of Funds'!J55</f>
        <v>0</v>
      </c>
      <c r="K168" s="2547"/>
      <c r="L168" s="2545"/>
      <c r="M168" s="2547">
        <f>'Part III-A-Uses of Funds'!M55</f>
        <v>0</v>
      </c>
      <c r="N168" s="2547"/>
      <c r="O168" s="1819"/>
      <c r="P168" s="2547">
        <f>'Part III-A-Uses of Funds'!P55</f>
        <v>1436400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6299</v>
      </c>
      <c r="C170" s="2681"/>
      <c r="D170" s="1819"/>
      <c r="E170" s="2616" t="s">
        <v>6300</v>
      </c>
      <c r="F170" s="2557">
        <f>B171/'Part V-Revenues &amp; Expenses'!$P$65</f>
        <v>117040</v>
      </c>
      <c r="G170" s="2682" t="s">
        <v>6957</v>
      </c>
      <c r="H170" s="1819"/>
      <c r="I170" s="1819"/>
      <c r="J170" s="2558">
        <f>B171/'Part V-Revenues &amp; Expenses'!$P$67</f>
        <v>117040</v>
      </c>
      <c r="K170" s="2558"/>
      <c r="L170" s="1819"/>
      <c r="M170" s="2683" t="s">
        <v>6477</v>
      </c>
      <c r="N170" s="2683"/>
      <c r="O170" s="1819"/>
      <c r="P170" s="2558">
        <f>B171/'Part V-Revenues &amp; Expenses'!$K$175</f>
        <v>95.611078501969658</v>
      </c>
      <c r="Q170" s="2558"/>
      <c r="R170" s="1819"/>
      <c r="S170" s="2684" t="s">
        <v>6479</v>
      </c>
      <c r="T170" s="2684"/>
      <c r="U170" s="1819"/>
      <c r="V170" s="2665"/>
    </row>
    <row r="171" spans="1:22">
      <c r="A171" s="1819"/>
      <c r="B171" s="2686">
        <f>C162+G168</f>
        <v>15800400</v>
      </c>
      <c r="C171" s="2686"/>
      <c r="D171" s="1819"/>
      <c r="E171" s="2616"/>
      <c r="F171" s="2557">
        <f>B171/'Part V-Revenues &amp; Expenses'!$P$166</f>
        <v>188.41627016778165</v>
      </c>
      <c r="G171" s="2684" t="s">
        <v>6958</v>
      </c>
      <c r="H171" s="1819"/>
      <c r="I171" s="1819"/>
      <c r="J171" s="2558">
        <f>B171/'Part V-Revenues &amp; Expenses'!$P$168</f>
        <v>188.41627016778165</v>
      </c>
      <c r="K171" s="2558"/>
      <c r="L171" s="1819"/>
      <c r="M171" s="2684" t="s">
        <v>6478</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253500</v>
      </c>
      <c r="H176" s="2547"/>
      <c r="I176" s="1819"/>
      <c r="J176" s="2547">
        <f>'Part III-A-Uses of Funds'!J63</f>
        <v>0</v>
      </c>
      <c r="K176" s="2547"/>
      <c r="L176" s="2545"/>
      <c r="M176" s="2547">
        <f>'Part III-A-Uses of Funds'!M63</f>
        <v>0</v>
      </c>
      <c r="N176" s="2547"/>
      <c r="O176" s="1819"/>
      <c r="P176" s="2547">
        <f>'Part III-A-Uses of Funds'!P63</f>
        <v>146745.91121495326</v>
      </c>
      <c r="Q176" s="2547"/>
      <c r="R176" s="1819"/>
      <c r="S176" s="2547">
        <f>'Part III-A-Uses of Funds'!S63</f>
        <v>101254</v>
      </c>
      <c r="T176" s="2547"/>
      <c r="U176" s="1819"/>
      <c r="V176" s="2665"/>
    </row>
    <row r="177" spans="1:22">
      <c r="A177" s="1819"/>
      <c r="B177" s="1819" t="s">
        <v>2167</v>
      </c>
      <c r="C177" s="1819"/>
      <c r="D177" s="1819"/>
      <c r="E177" s="1819"/>
      <c r="F177" s="1819"/>
      <c r="G177" s="2547">
        <f>'Part III-A-Uses of Funds'!G64</f>
        <v>919585.20166819519</v>
      </c>
      <c r="H177" s="2547"/>
      <c r="I177" s="1819"/>
      <c r="J177" s="2547">
        <f>'Part III-A-Uses of Funds'!J64</f>
        <v>0</v>
      </c>
      <c r="K177" s="2547"/>
      <c r="L177" s="2545"/>
      <c r="M177" s="2547">
        <f>'Part III-A-Uses of Funds'!M64</f>
        <v>0</v>
      </c>
      <c r="N177" s="2547"/>
      <c r="O177" s="1819"/>
      <c r="P177" s="2547">
        <f>'Part III-A-Uses of Funds'!P64</f>
        <v>919585.20166819519</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31250</v>
      </c>
      <c r="H178" s="2547"/>
      <c r="I178" s="1819"/>
      <c r="J178" s="2547">
        <f>'Part III-A-Uses of Funds'!J65</f>
        <v>0</v>
      </c>
      <c r="K178" s="2547"/>
      <c r="L178" s="2545"/>
      <c r="M178" s="2547">
        <f>'Part III-A-Uses of Funds'!M65</f>
        <v>0</v>
      </c>
      <c r="N178" s="2547"/>
      <c r="O178" s="1819"/>
      <c r="P178" s="2547">
        <f>'Part III-A-Uses of Funds'!P65</f>
        <v>13854</v>
      </c>
      <c r="Q178" s="2547"/>
      <c r="R178" s="1819"/>
      <c r="S178" s="2547">
        <f>'Part III-A-Uses of Funds'!S65</f>
        <v>17396</v>
      </c>
      <c r="T178" s="2547"/>
      <c r="U178" s="1819"/>
      <c r="V178" s="2665"/>
    </row>
    <row r="179" spans="1:22">
      <c r="A179" s="1819"/>
      <c r="B179" s="1819" t="s">
        <v>2450</v>
      </c>
      <c r="C179" s="1819"/>
      <c r="D179" s="1819"/>
      <c r="E179" s="1819"/>
      <c r="F179" s="1819"/>
      <c r="G179" s="2547">
        <f>'Part III-A-Uses of Funds'!G66</f>
        <v>136500</v>
      </c>
      <c r="H179" s="2547"/>
      <c r="I179" s="1819"/>
      <c r="J179" s="2547">
        <f>'Part III-A-Uses of Funds'!J66</f>
        <v>0</v>
      </c>
      <c r="K179" s="2547"/>
      <c r="L179" s="2545"/>
      <c r="M179" s="2547">
        <f>'Part III-A-Uses of Funds'!M66</f>
        <v>0</v>
      </c>
      <c r="N179" s="2547"/>
      <c r="O179" s="1819"/>
      <c r="P179" s="2547">
        <f>'Part III-A-Uses of Funds'!P66</f>
        <v>136500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0</v>
      </c>
      <c r="H180" s="2547"/>
      <c r="I180" s="1819"/>
      <c r="J180" s="2547">
        <f>'Part III-A-Uses of Funds'!J67</f>
        <v>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100548</v>
      </c>
      <c r="H181" s="2547"/>
      <c r="I181" s="1819"/>
      <c r="J181" s="2547">
        <f>'Part III-A-Uses of Funds'!J68</f>
        <v>0</v>
      </c>
      <c r="K181" s="2547"/>
      <c r="L181" s="2545"/>
      <c r="M181" s="2547">
        <f>'Part III-A-Uses of Funds'!M68</f>
        <v>0</v>
      </c>
      <c r="N181" s="2547"/>
      <c r="O181" s="1819"/>
      <c r="P181" s="2547">
        <f>'Part III-A-Uses of Funds'!P68</f>
        <v>100548</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61000</v>
      </c>
      <c r="H182" s="2547"/>
      <c r="I182" s="1819"/>
      <c r="J182" s="2547">
        <f>'Part III-A-Uses of Funds'!J69</f>
        <v>0</v>
      </c>
      <c r="K182" s="2547"/>
      <c r="L182" s="2545"/>
      <c r="M182" s="2547">
        <f>'Part III-A-Uses of Funds'!M69</f>
        <v>0</v>
      </c>
      <c r="N182" s="2547"/>
      <c r="O182" s="1819"/>
      <c r="P182" s="2547">
        <f>'Part III-A-Uses of Funds'!P69</f>
        <v>61000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143640</v>
      </c>
      <c r="H183" s="2547"/>
      <c r="I183" s="378"/>
      <c r="J183" s="2547">
        <f>'Part III-A-Uses of Funds'!J70</f>
        <v>0</v>
      </c>
      <c r="K183" s="2547"/>
      <c r="L183" s="2545"/>
      <c r="M183" s="2547">
        <f>'Part III-A-Uses of Funds'!M70</f>
        <v>0</v>
      </c>
      <c r="N183" s="2547"/>
      <c r="O183" s="1819"/>
      <c r="P183" s="2547">
        <f>'Part III-A-Uses of Funds'!P70</f>
        <v>143640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6278</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6279</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1646023.2016681952</v>
      </c>
      <c r="H186" s="2547"/>
      <c r="I186" s="1819"/>
      <c r="J186" s="2547">
        <f>SUM(J174:J185)</f>
        <v>0</v>
      </c>
      <c r="K186" s="2547"/>
      <c r="L186" s="2545"/>
      <c r="M186" s="2547">
        <f>SUM(M174:M185)</f>
        <v>0</v>
      </c>
      <c r="N186" s="2547"/>
      <c r="O186" s="1819"/>
      <c r="P186" s="2547">
        <f>SUM(P174:P185)</f>
        <v>1521873.1128831485</v>
      </c>
      <c r="Q186" s="2547"/>
      <c r="R186" s="1819"/>
      <c r="S186" s="2547">
        <f>SUM(S174:S185)</f>
        <v>118650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250671</v>
      </c>
      <c r="H188" s="2547"/>
      <c r="I188" s="1819"/>
      <c r="J188" s="2547">
        <f>'Part III-A-Uses of Funds'!J75</f>
        <v>0</v>
      </c>
      <c r="K188" s="2547"/>
      <c r="L188" s="2545"/>
      <c r="M188" s="2547">
        <f>'Part III-A-Uses of Funds'!M75</f>
        <v>0</v>
      </c>
      <c r="N188" s="2547"/>
      <c r="O188" s="1819"/>
      <c r="P188" s="2547">
        <f>'Part III-A-Uses of Funds'!P75</f>
        <v>250671</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83557</v>
      </c>
      <c r="H189" s="2547"/>
      <c r="I189" s="1819"/>
      <c r="J189" s="2547">
        <f>'Part III-A-Uses of Funds'!J76</f>
        <v>0</v>
      </c>
      <c r="K189" s="2547"/>
      <c r="L189" s="2545"/>
      <c r="M189" s="2547">
        <f>'Part III-A-Uses of Funds'!M76</f>
        <v>0</v>
      </c>
      <c r="N189" s="2547"/>
      <c r="O189" s="1819"/>
      <c r="P189" s="2547">
        <f>'Part III-A-Uses of Funds'!P76</f>
        <v>83557</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0</v>
      </c>
      <c r="H190" s="2547"/>
      <c r="I190" s="1819"/>
      <c r="J190" s="2547">
        <f>'Part III-A-Uses of Funds'!J77</f>
        <v>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0</v>
      </c>
      <c r="H192" s="2547"/>
      <c r="I192" s="1819"/>
      <c r="J192" s="2547">
        <f>'Part III-A-Uses of Funds'!J79</f>
        <v>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45000</v>
      </c>
      <c r="H194" s="2547"/>
      <c r="I194" s="1819"/>
      <c r="J194" s="2547">
        <f>'Part III-A-Uses of Funds'!J81</f>
        <v>0</v>
      </c>
      <c r="K194" s="2547"/>
      <c r="L194" s="2545"/>
      <c r="M194" s="2547">
        <f>'Part III-A-Uses of Funds'!M81</f>
        <v>0</v>
      </c>
      <c r="N194" s="2547"/>
      <c r="O194" s="1819"/>
      <c r="P194" s="2547">
        <f>'Part III-A-Uses of Funds'!P81</f>
        <v>45000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150000</v>
      </c>
      <c r="H195" s="2547"/>
      <c r="I195" s="1819"/>
      <c r="J195" s="2547">
        <f>'Part III-A-Uses of Funds'!J82</f>
        <v>0</v>
      </c>
      <c r="K195" s="2547"/>
      <c r="L195" s="2545"/>
      <c r="M195" s="2547">
        <f>'Part III-A-Uses of Funds'!M82</f>
        <v>0</v>
      </c>
      <c r="N195" s="2547"/>
      <c r="O195" s="1819"/>
      <c r="P195" s="2547">
        <f>'Part III-A-Uses of Funds'!P82</f>
        <v>150000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0</v>
      </c>
      <c r="H196" s="2547"/>
      <c r="I196" s="1819"/>
      <c r="J196" s="2547">
        <f>'Part III-A-Uses of Funds'!J83</f>
        <v>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0</v>
      </c>
      <c r="H197" s="2547"/>
      <c r="I197" s="1819"/>
      <c r="J197" s="2547">
        <f>'Part III-A-Uses of Funds'!J84</f>
        <v>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6280</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529228</v>
      </c>
      <c r="H199" s="2547"/>
      <c r="I199" s="1819"/>
      <c r="J199" s="2547">
        <f>SUM(J188:J198)</f>
        <v>0</v>
      </c>
      <c r="K199" s="2547"/>
      <c r="L199" s="2545"/>
      <c r="M199" s="2547">
        <f>SUM(M188:M198)</f>
        <v>0</v>
      </c>
      <c r="N199" s="2547"/>
      <c r="O199" s="1819"/>
      <c r="P199" s="2547">
        <f>SUM(P188:P198)</f>
        <v>529228</v>
      </c>
      <c r="Q199" s="2547"/>
      <c r="R199" s="1819"/>
      <c r="S199" s="2547">
        <f>SUM(S188:S198)</f>
        <v>0</v>
      </c>
      <c r="T199" s="2547"/>
      <c r="U199" s="1819"/>
      <c r="V199" s="2665">
        <f>SUM(V188:V198)</f>
        <v>0</v>
      </c>
    </row>
    <row r="200" spans="1:22">
      <c r="A200" s="1819"/>
      <c r="B200" s="2614" t="s">
        <v>1193</v>
      </c>
      <c r="C200" s="1819"/>
      <c r="D200" s="2692" t="s">
        <v>3230</v>
      </c>
      <c r="E200" s="2693">
        <f>G205/'Part V-Revenues &amp; Expenses'!$P$67</f>
        <v>87.407407407407405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11800</v>
      </c>
      <c r="H201" s="2547"/>
      <c r="I201" s="1819"/>
      <c r="J201" s="2547">
        <f>'Part III-A-Uses of Funds'!J88</f>
        <v>0</v>
      </c>
      <c r="K201" s="2547"/>
      <c r="L201" s="2545"/>
      <c r="M201" s="2547">
        <f>'Part III-A-Uses of Funds'!M88</f>
        <v>0</v>
      </c>
      <c r="N201" s="2547"/>
      <c r="O201" s="1819"/>
      <c r="P201" s="2547">
        <f>'Part III-A-Uses of Funds'!P88</f>
        <v>11800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Yes</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Yes</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11800</v>
      </c>
      <c r="H205" s="2547"/>
      <c r="I205" s="1819"/>
      <c r="J205" s="2547">
        <f>SUM(J201:J204)</f>
        <v>0</v>
      </c>
      <c r="K205" s="2547"/>
      <c r="L205" s="2545"/>
      <c r="M205" s="2547">
        <f>SUM(M201:M204)</f>
        <v>0</v>
      </c>
      <c r="N205" s="2547"/>
      <c r="O205" s="1819"/>
      <c r="P205" s="2547">
        <f>SUM(P201:P204)</f>
        <v>11800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17500</v>
      </c>
      <c r="H210" s="2547"/>
      <c r="I210" s="1819"/>
      <c r="J210" s="2547"/>
      <c r="K210" s="2547"/>
      <c r="L210" s="2545"/>
      <c r="M210" s="2547"/>
      <c r="N210" s="2547"/>
      <c r="O210" s="1819"/>
      <c r="P210" s="2547"/>
      <c r="Q210" s="2547"/>
      <c r="R210" s="1819"/>
      <c r="S210" s="2547">
        <f>'Part III-A-Uses of Funds'!S97</f>
        <v>17500</v>
      </c>
      <c r="T210" s="2547"/>
      <c r="U210" s="1819"/>
      <c r="V210" s="2665"/>
    </row>
    <row r="211" spans="1:33">
      <c r="A211" s="1819"/>
      <c r="B211" s="1819" t="s">
        <v>1199</v>
      </c>
      <c r="C211" s="1819"/>
      <c r="D211" s="1819"/>
      <c r="E211" s="1819"/>
      <c r="F211" s="1819"/>
      <c r="G211" s="2547">
        <f>'Part III-A-Uses of Funds'!G98</f>
        <v>31250</v>
      </c>
      <c r="H211" s="2547"/>
      <c r="I211" s="1819"/>
      <c r="J211" s="2547"/>
      <c r="K211" s="2547"/>
      <c r="L211" s="2545"/>
      <c r="M211" s="2547"/>
      <c r="N211" s="2547"/>
      <c r="O211" s="1819"/>
      <c r="P211" s="2547"/>
      <c r="Q211" s="2547"/>
      <c r="R211" s="1819"/>
      <c r="S211" s="2547">
        <f>'Part III-A-Uses of Funds'!S98</f>
        <v>31250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6281</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48750</v>
      </c>
      <c r="H216" s="2547"/>
      <c r="I216" s="1819"/>
      <c r="J216" s="2547"/>
      <c r="K216" s="2547"/>
      <c r="L216" s="2545"/>
      <c r="M216" s="2547"/>
      <c r="N216" s="2547"/>
      <c r="O216" s="1819"/>
      <c r="P216" s="2547"/>
      <c r="Q216" s="2547"/>
      <c r="R216" s="1819"/>
      <c r="S216" s="2547">
        <f>SUM(S210:S215)</f>
        <v>48750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3927</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6705</v>
      </c>
      <c r="X218" s="1819"/>
      <c r="Y218" s="403" t="s">
        <v>6647</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135</v>
      </c>
      <c r="AC219" s="1819"/>
      <c r="AD219" s="1819"/>
      <c r="AE219" s="1819"/>
      <c r="AF219" s="1819"/>
      <c r="AG219" s="1819"/>
    </row>
    <row r="220" spans="1:33">
      <c r="A220" s="1819"/>
      <c r="B220" s="1819" t="s">
        <v>3320</v>
      </c>
      <c r="C220" s="1819"/>
      <c r="D220" s="1819"/>
      <c r="E220" s="1819"/>
      <c r="F220" s="1819"/>
      <c r="G220" s="2547">
        <f>'Part III-A-Uses of Funds'!G107</f>
        <v>13500</v>
      </c>
      <c r="H220" s="2547"/>
      <c r="I220" s="1819"/>
      <c r="J220" s="2545"/>
      <c r="K220" s="2545"/>
      <c r="L220" s="2560"/>
      <c r="M220" s="2545"/>
      <c r="N220" s="2545"/>
      <c r="O220" s="1819"/>
      <c r="P220" s="2545"/>
      <c r="Q220" s="2545"/>
      <c r="R220" s="1819"/>
      <c r="S220" s="2547">
        <f>'Part III-A-Uses of Funds'!S107</f>
        <v>13500</v>
      </c>
      <c r="T220" s="2547"/>
      <c r="U220" s="1819"/>
      <c r="V220" s="2665"/>
      <c r="W220" s="2645"/>
      <c r="X220" s="2645"/>
      <c r="Y220" s="2700" t="s">
        <v>6710</v>
      </c>
      <c r="Z220" s="2622"/>
      <c r="AA220" s="2622"/>
      <c r="AB220" s="2622"/>
      <c r="AC220" s="1819"/>
      <c r="AD220" s="2701" t="s">
        <v>6711</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6706</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108000</v>
      </c>
      <c r="F222" s="2561"/>
      <c r="G222" s="2547">
        <f>'Part III-A-Uses of Funds'!G109</f>
        <v>108800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108800</v>
      </c>
      <c r="T222" s="2547"/>
      <c r="U222" s="1819"/>
      <c r="V222" s="2665"/>
      <c r="W222" s="2645"/>
      <c r="X222" s="2645"/>
      <c r="Y222" s="2622" t="s">
        <v>6289</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3451</v>
      </c>
      <c r="C223" s="1819"/>
      <c r="D223" s="1819"/>
      <c r="E223" s="1819"/>
      <c r="F223" s="2704"/>
      <c r="G223" s="2547">
        <f>'Part III-A-Uses of Funds'!G110</f>
        <v>4500</v>
      </c>
      <c r="H223" s="2547"/>
      <c r="I223" s="2563"/>
      <c r="J223" s="2563"/>
      <c r="K223" s="2563"/>
      <c r="L223" s="2563"/>
      <c r="M223" s="2563"/>
      <c r="N223" s="2563"/>
      <c r="O223" s="2563"/>
      <c r="P223" s="2563"/>
      <c r="Q223" s="2563"/>
      <c r="R223" s="2563"/>
      <c r="S223" s="2547">
        <f>'Part III-A-Uses of Funds'!S110</f>
        <v>4500</v>
      </c>
      <c r="T223" s="2547"/>
      <c r="U223" s="1819"/>
      <c r="V223" s="2665"/>
      <c r="W223" s="2645"/>
      <c r="X223" s="1819"/>
      <c r="Y223" s="2622" t="s">
        <v>6707</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3452</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6708</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6277</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6709</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6277</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135</v>
      </c>
      <c r="AC226" s="1819"/>
      <c r="AD226" s="2703">
        <f>IF($AD$101="Income Averaging",AB226*'DCA Underwriting Assumptions'!$Q$61,AB226*'DCA Underwriting Assumptions'!$Q$60)</f>
        <v>108000</v>
      </c>
      <c r="AE226" s="1819"/>
      <c r="AF226" s="1819"/>
      <c r="AG226" s="1819"/>
    </row>
    <row r="227" spans="1:33">
      <c r="A227" s="1819"/>
      <c r="B227" s="1819"/>
      <c r="C227" s="1819"/>
      <c r="D227" s="1819"/>
      <c r="E227" s="1819"/>
      <c r="F227" s="2669" t="s">
        <v>184</v>
      </c>
      <c r="G227" s="2547">
        <f>SUM(G218:G226)</f>
        <v>233200</v>
      </c>
      <c r="H227" s="2547"/>
      <c r="I227" s="1819"/>
      <c r="J227" s="2545"/>
      <c r="K227" s="2545"/>
      <c r="L227" s="2545"/>
      <c r="M227" s="2545"/>
      <c r="N227" s="2545"/>
      <c r="O227" s="1819"/>
      <c r="P227" s="2545"/>
      <c r="Q227" s="2545"/>
      <c r="R227" s="1819"/>
      <c r="S227" s="2547">
        <f>SUM(S218:S226)</f>
        <v>233200</v>
      </c>
      <c r="T227" s="2547"/>
      <c r="U227" s="1819"/>
      <c r="V227" s="2665">
        <f>SUM(V218:V226)</f>
        <v>0</v>
      </c>
      <c r="W227" s="1819"/>
      <c r="X227" s="1819"/>
      <c r="Y227" s="2622" t="s">
        <v>6483</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6708</v>
      </c>
      <c r="AA228" s="2622"/>
      <c r="AB228" s="2705">
        <f>SUM(AB226:AB227)</f>
        <v>135</v>
      </c>
      <c r="AC228" s="1819"/>
      <c r="AD228" s="2706">
        <f>SUM(AD226:AD227)</f>
        <v>108000</v>
      </c>
      <c r="AE228" s="1819"/>
      <c r="AF228" s="1819"/>
      <c r="AG228" s="1819"/>
    </row>
    <row r="229" spans="1:33">
      <c r="A229" s="1819"/>
      <c r="B229" s="1819" t="s">
        <v>267</v>
      </c>
      <c r="C229" s="1819"/>
      <c r="D229" s="1819"/>
      <c r="E229" s="1819"/>
      <c r="F229" s="1819"/>
      <c r="G229" s="2547">
        <f>'Part III-A-Uses of Funds'!G116</f>
        <v>35000</v>
      </c>
      <c r="H229" s="2547"/>
      <c r="I229" s="1819"/>
      <c r="J229" s="2547"/>
      <c r="K229" s="2547"/>
      <c r="L229" s="2545"/>
      <c r="M229" s="2547"/>
      <c r="N229" s="2547"/>
      <c r="O229" s="1819"/>
      <c r="P229" s="2547"/>
      <c r="Q229" s="2547"/>
      <c r="R229" s="1819"/>
      <c r="S229" s="2547">
        <f>'Part III-A-Uses of Funds'!S116</f>
        <v>35000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6277</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35000</v>
      </c>
      <c r="H233" s="2547"/>
      <c r="I233" s="1819"/>
      <c r="J233" s="2547"/>
      <c r="K233" s="2547"/>
      <c r="L233" s="2545"/>
      <c r="M233" s="2547"/>
      <c r="N233" s="2547"/>
      <c r="O233" s="1819"/>
      <c r="P233" s="2547"/>
      <c r="Q233" s="2547"/>
      <c r="R233" s="1819"/>
      <c r="S233" s="2547">
        <f>SUM(S229:S232)</f>
        <v>35000</v>
      </c>
      <c r="T233" s="2547"/>
      <c r="U233" s="1819"/>
      <c r="V233" s="2665">
        <f>SUM(V229:V232)</f>
        <v>0</v>
      </c>
      <c r="W233" s="1819"/>
      <c r="X233" s="1819"/>
      <c r="Y233" s="1819"/>
      <c r="Z233" s="1819"/>
      <c r="AA233" s="2708" t="s">
        <v>3924</v>
      </c>
      <c r="AB233" s="2708" t="s">
        <v>3925</v>
      </c>
      <c r="AC233" s="2708" t="s">
        <v>3928</v>
      </c>
      <c r="AD233" s="2709" t="s">
        <v>3926</v>
      </c>
      <c r="AE233" s="2708" t="s">
        <v>3917</v>
      </c>
      <c r="AF233" s="2710" t="s">
        <v>6744</v>
      </c>
      <c r="AG233" s="2710"/>
    </row>
    <row r="234" spans="1:33" ht="13.5">
      <c r="A234" s="1819"/>
      <c r="B234" s="2614" t="s">
        <v>269</v>
      </c>
      <c r="C234" s="1819"/>
      <c r="D234" s="1819"/>
      <c r="E234" s="2654" t="s">
        <v>3927</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3915</v>
      </c>
      <c r="X234" s="403"/>
      <c r="Y234" s="1320" t="s">
        <v>3921</v>
      </c>
      <c r="Z234" s="1320" t="s">
        <v>3922</v>
      </c>
      <c r="AA234" s="2708"/>
      <c r="AB234" s="2708"/>
      <c r="AC234" s="2708"/>
      <c r="AD234" s="2709"/>
      <c r="AE234" s="2708"/>
      <c r="AF234" s="2710"/>
      <c r="AG234" s="2710"/>
    </row>
    <row r="235" spans="1:33" ht="13.5">
      <c r="A235" s="1819"/>
      <c r="B235" s="1819" t="s">
        <v>1724</v>
      </c>
      <c r="C235" s="1819"/>
      <c r="D235" s="1819"/>
      <c r="E235" s="1819"/>
      <c r="F235" s="2649">
        <f>'Part III-A-Uses of Funds'!F122</f>
        <v>1</v>
      </c>
      <c r="G235" s="2547">
        <f>'Part III-A-Uses of Funds'!G122</f>
        <v>2000000</v>
      </c>
      <c r="H235" s="2547"/>
      <c r="I235" s="1819"/>
      <c r="J235" s="2547">
        <f>'Part III-A-Uses of Funds'!J122</f>
        <v>0</v>
      </c>
      <c r="K235" s="2547"/>
      <c r="L235" s="2545"/>
      <c r="M235" s="2547">
        <f>'Part III-A-Uses of Funds'!M122</f>
        <v>0</v>
      </c>
      <c r="N235" s="2547"/>
      <c r="O235" s="1819"/>
      <c r="P235" s="2547">
        <f>'Part III-A-Uses of Funds'!P122</f>
        <v>2000000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5">
      <c r="A236" s="1819"/>
      <c r="B236" s="1819" t="s">
        <v>3413</v>
      </c>
      <c r="C236" s="1819"/>
      <c r="D236" s="1819"/>
      <c r="E236" s="1819"/>
      <c r="F236" s="2564">
        <f>'Part III-A-Uses of Funds'!F123</f>
        <v>1410148</v>
      </c>
      <c r="G236" s="2707" t="s">
        <v>6724</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2447500</v>
      </c>
      <c r="AE238" s="2713">
        <f>'DCA Underwriting Assumptions'!$Q$75</f>
        <v>3500000</v>
      </c>
      <c r="AF238" s="2647">
        <f>MIN(AD238,AE238)</f>
        <v>2447500</v>
      </c>
      <c r="AG238" s="2647"/>
    </row>
    <row r="239" spans="1:33" ht="13.5">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3923</v>
      </c>
      <c r="E240" s="2716">
        <f>'Part III-A-Uses of Funds'!E127</f>
        <v>2000000</v>
      </c>
      <c r="F240" s="2669" t="s">
        <v>184</v>
      </c>
      <c r="G240" s="2547">
        <f>SUM(G235:G239)</f>
        <v>2000000</v>
      </c>
      <c r="H240" s="2547"/>
      <c r="I240" s="1819"/>
      <c r="J240" s="2547">
        <f>SUM(J235:J239)</f>
        <v>0</v>
      </c>
      <c r="K240" s="2547"/>
      <c r="L240" s="2545"/>
      <c r="M240" s="2547">
        <f>SUM(M235:M239)</f>
        <v>0</v>
      </c>
      <c r="N240" s="2547"/>
      <c r="O240" s="1819"/>
      <c r="P240" s="2547">
        <f>SUM(P235:P239)</f>
        <v>2000000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1072500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c r="A243" s="1819"/>
      <c r="B243" s="1819" t="s">
        <v>1436</v>
      </c>
      <c r="C243" s="1819"/>
      <c r="D243" s="1819"/>
      <c r="E243" s="1819"/>
      <c r="F243" s="2717">
        <f>'Part III-A-Uses of Funds'!F130</f>
        <v>214569.001984</v>
      </c>
      <c r="G243" s="2547">
        <f>'Part III-A-Uses of Funds'!G130</f>
        <v>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c r="A244" s="1819"/>
      <c r="B244" s="1819" t="s">
        <v>632</v>
      </c>
      <c r="C244" s="1819"/>
      <c r="D244" s="1819"/>
      <c r="E244" s="1819"/>
      <c r="F244" s="2717">
        <f>'Part III-A-Uses of Funds'!F131</f>
        <v>746519.80646946817</v>
      </c>
      <c r="G244" s="2547">
        <f>'Part III-A-Uses of Funds'!G131</f>
        <v>745520</v>
      </c>
      <c r="H244" s="2547"/>
      <c r="I244" s="1819"/>
      <c r="J244" s="2565" t="str">
        <f>IF(E244&gt;G244,"WARNING! ODR proposed is below minimum - add comment.","")</f>
        <v/>
      </c>
      <c r="K244" s="2560"/>
      <c r="L244" s="2560"/>
      <c r="M244" s="2560"/>
      <c r="N244" s="2560"/>
      <c r="O244" s="1819"/>
      <c r="P244" s="2560"/>
      <c r="Q244" s="2560"/>
      <c r="R244" s="1819"/>
      <c r="S244" s="2547">
        <f>'Part III-A-Uses of Funds'!S131</f>
        <v>745520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3138</v>
      </c>
      <c r="F246" s="2717">
        <f>'Part III-A-Uses of Funds'!F133</f>
        <v>370.37037037037038</v>
      </c>
      <c r="G246" s="2547">
        <f>'Part III-A-Uses of Funds'!G133</f>
        <v>50000</v>
      </c>
      <c r="H246" s="2547"/>
      <c r="I246" s="1819"/>
      <c r="J246" s="2547">
        <f>'Part III-A-Uses of Funds'!J133</f>
        <v>0</v>
      </c>
      <c r="K246" s="2547"/>
      <c r="L246" s="2545"/>
      <c r="M246" s="2547">
        <f>'Part III-A-Uses of Funds'!M133</f>
        <v>0</v>
      </c>
      <c r="N246" s="2547"/>
      <c r="O246" s="1819"/>
      <c r="P246" s="2547">
        <f>'Part III-A-Uses of Funds'!P133</f>
        <v>50000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6277</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795520</v>
      </c>
      <c r="H248" s="2547"/>
      <c r="I248" s="1819"/>
      <c r="J248" s="2547">
        <f>SUM(J246:J247)</f>
        <v>0</v>
      </c>
      <c r="K248" s="2547"/>
      <c r="L248" s="2545"/>
      <c r="M248" s="2547">
        <f>SUM(M246:M247)</f>
        <v>0</v>
      </c>
      <c r="N248" s="2547"/>
      <c r="O248" s="1819"/>
      <c r="P248" s="2547">
        <f>SUM(P246:P247)</f>
        <v>50000</v>
      </c>
      <c r="Q248" s="2547"/>
      <c r="R248" s="1819"/>
      <c r="S248" s="2547">
        <f>SUM(S242:S247)</f>
        <v>745520</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608000</v>
      </c>
      <c r="H255" s="2547"/>
      <c r="I255" s="1819"/>
      <c r="J255" s="2547">
        <f>'Part III-A-Uses of Funds'!J142</f>
        <v>0</v>
      </c>
      <c r="K255" s="2547"/>
      <c r="L255" s="2545"/>
      <c r="M255" s="2547">
        <f>'Part III-A-Uses of Funds'!M142</f>
        <v>0</v>
      </c>
      <c r="N255" s="2547"/>
      <c r="O255" s="1819"/>
      <c r="P255" s="2547">
        <f>'Part III-A-Uses of Funds'!P142</f>
        <v>608000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6277</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608000</v>
      </c>
      <c r="H257" s="2547"/>
      <c r="I257" s="1819"/>
      <c r="J257" s="2547">
        <f>SUM(J255:J256)</f>
        <v>0</v>
      </c>
      <c r="K257" s="2547"/>
      <c r="L257" s="2545"/>
      <c r="M257" s="2547">
        <f>SUM(M255:M256)</f>
        <v>0</v>
      </c>
      <c r="N257" s="2547"/>
      <c r="O257" s="1819"/>
      <c r="P257" s="2547">
        <f>SUM(P255:P256)</f>
        <v>608000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6961</v>
      </c>
      <c r="C259" s="1819"/>
      <c r="D259" s="1819"/>
      <c r="E259" s="2670"/>
      <c r="F259" s="2722"/>
      <c r="G259" s="2567">
        <f>G131+G137+G141+G149+G154+G159+G168+G186+G199+G205+G216+G227+G233+G240+G248+G257</f>
        <v>31347921.201668195</v>
      </c>
      <c r="H259" s="2567"/>
      <c r="I259" s="1819"/>
      <c r="J259" s="2567">
        <f>J131+J137+J141+J149+J154+J159+J168+J186+J199+J205+J216+J227+J233+J240+J248+J257</f>
        <v>0</v>
      </c>
      <c r="K259" s="2567"/>
      <c r="L259" s="1819"/>
      <c r="M259" s="2567">
        <f>M131+M137+M141+M149+M154+M159+M168+M186+M199+M205+M216+M227+M233+M240+M248+M257</f>
        <v>0</v>
      </c>
      <c r="N259" s="2567"/>
      <c r="O259" s="1819"/>
      <c r="P259" s="2567">
        <f>P131+P137+P141+P149+P154+P159+P168+P186+P199+P205+P216+P227+P233+P240+P248+P257</f>
        <v>20545854.112883147</v>
      </c>
      <c r="Q259" s="2567"/>
      <c r="R259" s="1819"/>
      <c r="S259" s="2567">
        <f>S131+S137+S141+S149+S154+S159+S168+S186+S199+S205+S216+S227+S233+S240+S248+S257</f>
        <v>10731120</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6962</v>
      </c>
      <c r="C261" s="2681"/>
      <c r="D261" s="2568">
        <f>IF('Part V-Revenues &amp; Expenses'!$P$67=0,0,G259/'Part V-Revenues &amp; Expenses'!$P$67)</f>
        <v>232206.8237160607</v>
      </c>
      <c r="E261" s="2568"/>
      <c r="F261" s="2695" t="s">
        <v>2487</v>
      </c>
      <c r="G261" s="2568">
        <f>IF('Part V-Revenues &amp; Expenses'!$K$175=0,0,G259/'Part V-Revenues &amp; Expenses'!$K$175)</f>
        <v>189.69194165250607</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2356880.4258519793</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2356880.4258519793</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0</v>
      </c>
      <c r="N275" s="2648"/>
      <c r="O275" s="1819"/>
      <c r="P275" s="2648">
        <f>P259</f>
        <v>20545854.112883147</v>
      </c>
      <c r="Q275" s="2648"/>
      <c r="R275" s="2727" t="s">
        <v>3775</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2356880.4258519793</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0</v>
      </c>
      <c r="N277" s="2648"/>
      <c r="O277" s="1819"/>
      <c r="P277" s="2648">
        <f>P275-P276</f>
        <v>18188973.687031168</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0</v>
      </c>
      <c r="K278" s="2728"/>
      <c r="L278" s="1819"/>
      <c r="M278" s="2728"/>
      <c r="N278" s="2728"/>
      <c r="O278" s="1819"/>
      <c r="P278" s="2728">
        <f>'Part III-A-Uses of Funds'!P165</f>
        <v>1.3</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0</v>
      </c>
      <c r="N279" s="2648"/>
      <c r="O279" s="1819"/>
      <c r="P279" s="2648">
        <f>P277*P278</f>
        <v>23645665.793140519</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0</v>
      </c>
      <c r="N281" s="2648"/>
      <c r="O281" s="1819"/>
      <c r="P281" s="2648">
        <f>P279*P280</f>
        <v>23645665.793140519</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v>
      </c>
      <c r="K282" s="2728"/>
      <c r="L282" s="1819"/>
      <c r="M282" s="2728">
        <f>'Part III-A-Uses of Funds'!M169</f>
        <v>0</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0</v>
      </c>
      <c r="N283" s="2648"/>
      <c r="O283" s="1819"/>
      <c r="P283" s="2648">
        <f>P281*P282</f>
        <v>2128109.9213826465</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2128109</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6963</v>
      </c>
      <c r="C289" s="1819"/>
      <c r="D289" s="1819"/>
      <c r="E289" s="1819"/>
      <c r="F289" s="1819"/>
      <c r="G289" s="1819"/>
      <c r="H289" s="1819"/>
      <c r="I289" s="1819"/>
      <c r="J289" s="2648">
        <f>G259</f>
        <v>31347921.201668195</v>
      </c>
      <c r="K289" s="2648"/>
      <c r="L289" s="2648"/>
      <c r="M289" s="1819"/>
      <c r="N289" s="2727" t="s">
        <v>6718</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13525392.766668987</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17822528.434999209</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Yes</v>
      </c>
      <c r="U292" s="1819"/>
      <c r="V292" s="2665"/>
    </row>
    <row r="293" spans="1:22" ht="13.5">
      <c r="A293" s="1819"/>
      <c r="B293" s="1819" t="s">
        <v>1210</v>
      </c>
      <c r="C293" s="1819"/>
      <c r="D293" s="1819"/>
      <c r="E293" s="1819"/>
      <c r="F293" s="1819"/>
      <c r="G293" s="1819"/>
      <c r="H293" s="1819"/>
      <c r="I293" s="1819"/>
      <c r="J293" s="2648">
        <f>J291/10</f>
        <v>1782252.8434999208</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6964</v>
      </c>
      <c r="C295" s="1819"/>
      <c r="D295" s="1819"/>
      <c r="E295" s="1819"/>
      <c r="F295" s="1819"/>
      <c r="G295" s="1819"/>
      <c r="H295" s="1819"/>
      <c r="I295" s="1819"/>
      <c r="J295" s="2733">
        <f>N295+Q295</f>
        <v>1.56</v>
      </c>
      <c r="K295" s="2733"/>
      <c r="L295" s="2733"/>
      <c r="M295" s="1622" t="s">
        <v>1212</v>
      </c>
      <c r="N295" s="2734">
        <f>'Part III-A-Uses of Funds'!N182</f>
        <v>0.83</v>
      </c>
      <c r="O295" s="2734"/>
      <c r="P295" s="1622" t="s">
        <v>570</v>
      </c>
      <c r="Q295" s="2734">
        <f>'Part III-A-Uses of Funds'!Q182</f>
        <v>0.73</v>
      </c>
      <c r="R295" s="2734"/>
      <c r="S295" s="1819"/>
      <c r="T295" s="1819"/>
      <c r="U295" s="1819"/>
      <c r="V295" s="2665"/>
    </row>
    <row r="296" spans="1:22">
      <c r="A296" s="1819"/>
      <c r="B296" s="2614" t="s">
        <v>1340</v>
      </c>
      <c r="C296" s="1819"/>
      <c r="D296" s="1819"/>
      <c r="E296" s="1819"/>
      <c r="F296" s="1819"/>
      <c r="G296" s="1819"/>
      <c r="H296" s="1819"/>
      <c r="I296" s="1819"/>
      <c r="J296" s="2647">
        <f>ROUNDDOWN(IF(J295=0,"",J293/J295),0)</f>
        <v>1142469</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3935</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6965</v>
      </c>
      <c r="C300" s="1819"/>
      <c r="D300" s="1819"/>
      <c r="E300" s="1819"/>
      <c r="F300" s="1819"/>
      <c r="G300" s="1819"/>
      <c r="H300" s="1819"/>
      <c r="I300" s="1819"/>
      <c r="J300" s="2647">
        <f>'Part III-A-Uses of Funds'!J187</f>
        <v>1105000</v>
      </c>
      <c r="K300" s="2647"/>
      <c r="L300" s="2647"/>
      <c r="M300" s="1819"/>
      <c r="N300" s="1819"/>
      <c r="O300" s="1819"/>
      <c r="P300" s="1819"/>
      <c r="Q300" s="2622" t="s">
        <v>6249</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6966</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6545</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6967</v>
      </c>
      <c r="C304" s="1819"/>
      <c r="D304" s="378"/>
      <c r="E304" s="378"/>
      <c r="F304" s="2623"/>
      <c r="G304" s="1819"/>
      <c r="H304" s="1819"/>
      <c r="I304" s="1819"/>
      <c r="J304" s="2647">
        <f>IF(J302="",0,+MIN(J300,J302))</f>
        <v>1105000</v>
      </c>
      <c r="K304" s="2647"/>
      <c r="L304" s="2647"/>
      <c r="M304" s="2737"/>
      <c r="N304" s="2737"/>
      <c r="O304" s="2737"/>
      <c r="P304" s="2737"/>
      <c r="Q304" s="403" t="s">
        <v>3927</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Richmond Summit  -  Augusta  -  Richmond,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6968</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PCNA</v>
      </c>
      <c r="B322" s="2571"/>
      <c r="C322" s="2571"/>
      <c r="D322" s="2571"/>
      <c r="E322" s="2745"/>
      <c r="F322" s="2572" t="str">
        <f>'Part III-B-Other Items'!F9</f>
        <v>Required per DCA QAP</v>
      </c>
      <c r="G322" s="2747"/>
      <c r="H322" s="2572" t="str">
        <f>'Part III-B-Other Items'!H9</f>
        <v xml:space="preserve">The PCNA informs the developer about what aspects of the building need to be renovated (for existing buildings). It also informs the developer about the useful life of specific systems and equipment so that the developer can plan ahead and budget accordingly. </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25000</v>
      </c>
      <c r="C325" s="2748" t="s">
        <v>1665</v>
      </c>
      <c r="D325" s="2573">
        <f>'Part III-A-Uses of Funds'!$J$15+'Part III-A-Uses of Funds'!$M$15+'Part III-A-Uses of Funds'!$P$15</f>
        <v>25000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Historical Consultant Report</v>
      </c>
      <c r="B327" s="2571"/>
      <c r="C327" s="2571"/>
      <c r="D327" s="2571"/>
      <c r="E327" s="2745"/>
      <c r="F327" s="2572" t="str">
        <f>'Part III-B-Other Items'!F14</f>
        <v>Required per historic designation of the property</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50000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6969</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6970</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6971</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Richmond Summit,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6739</v>
      </c>
      <c r="I401" s="2753" t="str">
        <f>'Part IV-Utility Allowances'!I3</f>
        <v>Local PHA</v>
      </c>
    </row>
    <row r="403" spans="1:13">
      <c r="A403" s="2754" t="s">
        <v>6972</v>
      </c>
    </row>
    <row r="405" spans="1:13" ht="25.5">
      <c r="A405" s="361" t="s">
        <v>573</v>
      </c>
      <c r="B405" s="361" t="s">
        <v>2059</v>
      </c>
      <c r="F405" s="359" t="s">
        <v>2317</v>
      </c>
      <c r="G405" s="359"/>
      <c r="H405" s="359"/>
      <c r="I405" s="2621" t="str">
        <f>'Part IV-Utility Allowances'!I7</f>
        <v>HUD Rent Schedule</v>
      </c>
      <c r="J405" s="2621"/>
      <c r="K405" s="2621"/>
      <c r="L405" s="2621"/>
      <c r="M405" s="2621"/>
    </row>
    <row r="406" spans="1:13">
      <c r="A406" s="361"/>
      <c r="F406" s="359" t="s">
        <v>593</v>
      </c>
      <c r="G406" s="359"/>
      <c r="H406" s="359"/>
      <c r="I406" s="2755">
        <f>'Part IV-Utility Allowances'!I8</f>
        <v>44256</v>
      </c>
      <c r="J406" s="2755"/>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f>'Part IV-Utility Allowances'!F12</f>
        <v>0</v>
      </c>
      <c r="G410" s="2756" t="str">
        <f>'Part IV-Utility Allowances'!G12</f>
        <v>X</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f>'Part IV-Utility Allowances'!F13</f>
        <v>0</v>
      </c>
      <c r="G411" s="2756" t="str">
        <f>'Part IV-Utility Allowances'!G13</f>
        <v>X</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f>'Part IV-Utility Allowances'!F14</f>
        <v>0</v>
      </c>
      <c r="G412" s="2756" t="str">
        <f>'Part IV-Utility Allowances'!G14</f>
        <v>X</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f>'Part IV-Utility Allowances'!F15</f>
        <v>0</v>
      </c>
      <c r="G413" s="2756" t="str">
        <f>'Part IV-Utility Allowances'!G15</f>
        <v>X</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3271</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3272</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3273</v>
      </c>
      <c r="C416" s="359"/>
      <c r="D416" s="359" t="s">
        <v>1491</v>
      </c>
      <c r="F416" s="2756">
        <f>'Part IV-Utility Allowances'!F18</f>
        <v>0</v>
      </c>
      <c r="G416" s="2756" t="str">
        <f>'Part IV-Utility Allowances'!G18</f>
        <v>X</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6748</v>
      </c>
      <c r="E417" s="1894" t="str">
        <f>'Part IV-Utility Allowances'!E19</f>
        <v>No</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0</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t="str">
        <f>'Part IV-Utility Allowances'!I24</f>
        <v>N/A</v>
      </c>
      <c r="J422" s="2621"/>
      <c r="K422" s="2621"/>
      <c r="L422" s="2621"/>
      <c r="M422" s="2621"/>
    </row>
    <row r="423" spans="1:13">
      <c r="A423" s="361"/>
      <c r="B423" s="361"/>
      <c r="F423" s="359" t="s">
        <v>593</v>
      </c>
      <c r="G423" s="359"/>
      <c r="H423" s="359"/>
      <c r="I423" s="2755" t="str">
        <f>'Part IV-Utility Allowances'!I25</f>
        <v>N/A</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3271</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3272</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3273</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6748</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6749</v>
      </c>
      <c r="F439" s="1748"/>
      <c r="G439" s="1748"/>
      <c r="I439" s="1885"/>
      <c r="J439" s="1885"/>
      <c r="K439" s="1885"/>
      <c r="L439" s="1885"/>
      <c r="M439" s="1885"/>
    </row>
    <row r="440" spans="1:13">
      <c r="A440" s="361"/>
      <c r="B440" s="361" t="s">
        <v>530</v>
      </c>
    </row>
    <row r="441" spans="1:13" ht="228">
      <c r="B441" s="2757" t="str">
        <f>'Part IV-Utility Allowances'!B43</f>
        <v xml:space="preserve">HUD reviews the rents and utility allowances for the property, therefore the HUD prescribed UA is used. Owner pays for all utilities, therefore the UA is $0.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Richmond Summit,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Richmond Summit,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6095</v>
      </c>
      <c r="E451" s="2630"/>
      <c r="F451" s="2630"/>
      <c r="G451" s="2630"/>
      <c r="H451" s="2630"/>
      <c r="I451" s="2630"/>
      <c r="J451" s="2630"/>
      <c r="K451" s="1747"/>
      <c r="L451" s="1747"/>
      <c r="M451" s="1747"/>
      <c r="O451" s="2758" t="s">
        <v>534</v>
      </c>
      <c r="P451" s="2759" t="str">
        <f>'Part I-Project Identification'!$O$28</f>
        <v>Augusta-Richmond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6973</v>
      </c>
      <c r="R452" s="2762"/>
      <c r="S452" s="2621"/>
      <c r="T452" s="2621"/>
      <c r="U452" s="2621"/>
      <c r="X452" s="2760" t="s">
        <v>3683</v>
      </c>
      <c r="Y452" s="2760" t="s">
        <v>3684</v>
      </c>
      <c r="Z452" s="2760" t="s">
        <v>3685</v>
      </c>
      <c r="AA452" s="2760" t="s">
        <v>3686</v>
      </c>
      <c r="AB452" s="2760" t="s">
        <v>3687</v>
      </c>
      <c r="AC452" s="2760" t="s">
        <v>3688</v>
      </c>
      <c r="AD452" s="2760" t="s">
        <v>3689</v>
      </c>
      <c r="AE452" s="2760" t="s">
        <v>3690</v>
      </c>
      <c r="AF452" s="2760" t="s">
        <v>3691</v>
      </c>
      <c r="AG452" s="2760" t="s">
        <v>3692</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3694</v>
      </c>
      <c r="AS452" s="2760" t="s">
        <v>3695</v>
      </c>
      <c r="AT452" s="2760" t="s">
        <v>3696</v>
      </c>
      <c r="AU452" s="2760" t="s">
        <v>3697</v>
      </c>
      <c r="AV452" s="2760" t="s">
        <v>3693</v>
      </c>
      <c r="AW452" s="2760" t="s">
        <v>863</v>
      </c>
      <c r="AX452" s="2760" t="s">
        <v>2135</v>
      </c>
      <c r="AY452" s="2760" t="s">
        <v>2136</v>
      </c>
      <c r="AZ452" s="2760" t="s">
        <v>2137</v>
      </c>
      <c r="BA452" s="2760" t="s">
        <v>2138</v>
      </c>
      <c r="BB452" s="2760" t="s">
        <v>3698</v>
      </c>
      <c r="BC452" s="2760" t="s">
        <v>3699</v>
      </c>
      <c r="BD452" s="2760" t="s">
        <v>3700</v>
      </c>
      <c r="BE452" s="2760" t="s">
        <v>3701</v>
      </c>
      <c r="BF452" s="2760" t="s">
        <v>3702</v>
      </c>
      <c r="BG452" s="2760" t="s">
        <v>123</v>
      </c>
      <c r="BH452" s="2760" t="s">
        <v>2139</v>
      </c>
      <c r="BI452" s="2760" t="s">
        <v>2140</v>
      </c>
      <c r="BJ452" s="2760" t="s">
        <v>2141</v>
      </c>
      <c r="BK452" s="2760" t="s">
        <v>1080</v>
      </c>
      <c r="BL452" s="2760" t="s">
        <v>3703</v>
      </c>
      <c r="BM452" s="2760" t="s">
        <v>3704</v>
      </c>
      <c r="BN452" s="2760" t="s">
        <v>3705</v>
      </c>
      <c r="BO452" s="2760" t="s">
        <v>3706</v>
      </c>
      <c r="BP452" s="2760" t="s">
        <v>3707</v>
      </c>
      <c r="BQ452" s="2760" t="s">
        <v>517</v>
      </c>
      <c r="BR452" s="2760" t="s">
        <v>518</v>
      </c>
      <c r="BS452" s="2760" t="s">
        <v>535</v>
      </c>
      <c r="BT452" s="2760" t="s">
        <v>536</v>
      </c>
      <c r="BU452" s="2760" t="s">
        <v>537</v>
      </c>
      <c r="BV452" s="2760" t="s">
        <v>3708</v>
      </c>
      <c r="BW452" s="2760" t="s">
        <v>3709</v>
      </c>
      <c r="BX452" s="2760" t="s">
        <v>3710</v>
      </c>
      <c r="BY452" s="2760" t="s">
        <v>3711</v>
      </c>
      <c r="BZ452" s="2760" t="s">
        <v>3712</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3718</v>
      </c>
      <c r="CL452" s="2760" t="s">
        <v>3719</v>
      </c>
      <c r="CM452" s="2760" t="s">
        <v>3720</v>
      </c>
      <c r="CN452" s="2760" t="s">
        <v>3721</v>
      </c>
      <c r="CO452" s="2760" t="s">
        <v>3722</v>
      </c>
      <c r="CP452" s="2760" t="s">
        <v>3713</v>
      </c>
      <c r="CQ452" s="2760" t="s">
        <v>3714</v>
      </c>
      <c r="CR452" s="2760" t="s">
        <v>3715</v>
      </c>
      <c r="CS452" s="2760" t="s">
        <v>3716</v>
      </c>
      <c r="CT452" s="2760" t="s">
        <v>3717</v>
      </c>
      <c r="CU452" s="2760" t="s">
        <v>3723</v>
      </c>
      <c r="CV452" s="2760" t="s">
        <v>3724</v>
      </c>
      <c r="CW452" s="2760" t="s">
        <v>3725</v>
      </c>
      <c r="CX452" s="2760" t="s">
        <v>3726</v>
      </c>
      <c r="CY452" s="2760" t="s">
        <v>3727</v>
      </c>
      <c r="CZ452" s="2760" t="s">
        <v>466</v>
      </c>
      <c r="DA452" s="2760" t="s">
        <v>467</v>
      </c>
      <c r="DB452" s="2760" t="s">
        <v>468</v>
      </c>
      <c r="DC452" s="2760" t="s">
        <v>469</v>
      </c>
      <c r="DD452" s="2760" t="s">
        <v>470</v>
      </c>
      <c r="DE452" s="2760" t="s">
        <v>3728</v>
      </c>
      <c r="DF452" s="2760" t="s">
        <v>3729</v>
      </c>
      <c r="DG452" s="2760" t="s">
        <v>3730</v>
      </c>
      <c r="DH452" s="2760" t="s">
        <v>3731</v>
      </c>
      <c r="DI452" s="2760" t="s">
        <v>3732</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3733</v>
      </c>
      <c r="DU452" s="2760" t="s">
        <v>3734</v>
      </c>
      <c r="DV452" s="2760" t="s">
        <v>3735</v>
      </c>
      <c r="DW452" s="2760" t="s">
        <v>3736</v>
      </c>
      <c r="DX452" s="2760" t="s">
        <v>3737</v>
      </c>
      <c r="DY452" s="2760" t="s">
        <v>3738</v>
      </c>
      <c r="DZ452" s="2760" t="s">
        <v>3739</v>
      </c>
      <c r="EA452" s="2760" t="s">
        <v>3740</v>
      </c>
      <c r="EB452" s="2760" t="s">
        <v>3741</v>
      </c>
      <c r="EC452" s="2760" t="s">
        <v>3742</v>
      </c>
      <c r="ED452" s="2760" t="s">
        <v>2235</v>
      </c>
      <c r="EE452" s="2760" t="s">
        <v>2236</v>
      </c>
      <c r="EF452" s="2760" t="s">
        <v>2237</v>
      </c>
      <c r="EG452" s="2760" t="s">
        <v>2238</v>
      </c>
      <c r="EH452" s="2760" t="s">
        <v>2239</v>
      </c>
      <c r="EI452" s="2760" t="s">
        <v>3743</v>
      </c>
      <c r="EJ452" s="2760" t="s">
        <v>3744</v>
      </c>
      <c r="EK452" s="2760" t="s">
        <v>3745</v>
      </c>
      <c r="EL452" s="2760" t="s">
        <v>3746</v>
      </c>
      <c r="EM452" s="2760" t="s">
        <v>3747</v>
      </c>
      <c r="EN452" s="2760" t="s">
        <v>3748</v>
      </c>
      <c r="EO452" s="2760" t="s">
        <v>3749</v>
      </c>
      <c r="EP452" s="2760" t="s">
        <v>3750</v>
      </c>
      <c r="EQ452" s="2760" t="s">
        <v>3751</v>
      </c>
      <c r="ER452" s="2760" t="s">
        <v>3752</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3753</v>
      </c>
      <c r="FD452" s="2760" t="s">
        <v>3754</v>
      </c>
      <c r="FE452" s="2760" t="s">
        <v>3755</v>
      </c>
      <c r="FF452" s="2760" t="s">
        <v>3756</v>
      </c>
      <c r="FG452" s="2760" t="s">
        <v>3757</v>
      </c>
      <c r="FH452" s="2760" t="s">
        <v>125</v>
      </c>
      <c r="FI452" s="2760" t="s">
        <v>853</v>
      </c>
      <c r="FJ452" s="2760" t="s">
        <v>854</v>
      </c>
      <c r="FK452" s="2760" t="s">
        <v>855</v>
      </c>
      <c r="FL452" s="2760" t="s">
        <v>856</v>
      </c>
      <c r="FM452" s="2760" t="s">
        <v>3758</v>
      </c>
      <c r="FN452" s="2760" t="s">
        <v>3759</v>
      </c>
      <c r="FO452" s="2760" t="s">
        <v>3760</v>
      </c>
      <c r="FP452" s="2760" t="s">
        <v>3761</v>
      </c>
      <c r="FQ452" s="2760" t="s">
        <v>3762</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6974</v>
      </c>
      <c r="D453" s="2630"/>
      <c r="E453" s="2630"/>
      <c r="F453" s="2630"/>
      <c r="G453" s="1894" t="str">
        <f>'Part V-Revenues &amp; Expenses'!G6</f>
        <v>&lt;Select&gt;</v>
      </c>
      <c r="H453" s="2764" t="s">
        <v>6098</v>
      </c>
      <c r="I453" s="2764"/>
      <c r="J453" s="2764"/>
      <c r="K453" s="2765" t="s">
        <v>3136</v>
      </c>
      <c r="L453" s="2766" t="str">
        <f>'Part I-Project Identification'!$A$6</f>
        <v>April 2023</v>
      </c>
      <c r="M453" s="2766"/>
      <c r="N453" s="2766"/>
      <c r="O453" s="2767" t="s">
        <v>6975</v>
      </c>
      <c r="P453" s="2768">
        <f>'Part V-Revenues &amp; Expenses'!P6</f>
        <v>74100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6282</v>
      </c>
      <c r="MQ453" s="2760" t="s">
        <v>6283</v>
      </c>
      <c r="MR453" s="2760" t="s">
        <v>6284</v>
      </c>
      <c r="MS453" s="2760" t="s">
        <v>6285</v>
      </c>
      <c r="MT453" s="2760" t="s">
        <v>6286</v>
      </c>
    </row>
    <row r="454" spans="1:380" s="359" customFormat="1" ht="12.6" customHeight="1">
      <c r="A454" s="2763"/>
      <c r="B454" s="2770" t="s">
        <v>6097</v>
      </c>
      <c r="E454" s="1747"/>
      <c r="G454" s="1894" t="str">
        <f>'Part V-Revenues &amp; Expenses'!G7</f>
        <v>Yes</v>
      </c>
      <c r="I454" s="2771" t="s">
        <v>4072</v>
      </c>
      <c r="J454" s="2765" t="s">
        <v>742</v>
      </c>
      <c r="K454" s="2765" t="s">
        <v>3183</v>
      </c>
      <c r="L454" s="2766"/>
      <c r="M454" s="2766"/>
      <c r="N454" s="2766"/>
      <c r="O454" s="2772" t="s">
        <v>6077</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3765</v>
      </c>
      <c r="I455" s="2771"/>
      <c r="J455" s="2765" t="s">
        <v>743</v>
      </c>
      <c r="K455" s="2765" t="s">
        <v>3184</v>
      </c>
      <c r="L455" s="2621"/>
      <c r="M455" s="2621"/>
      <c r="N455" s="2775" t="s">
        <v>6481</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3766</v>
      </c>
      <c r="C456" s="2765" t="s">
        <v>165</v>
      </c>
      <c r="D456" s="2765" t="s">
        <v>510</v>
      </c>
      <c r="E456" s="2765" t="s">
        <v>1382</v>
      </c>
      <c r="F456" s="2765" t="s">
        <v>1382</v>
      </c>
      <c r="G456" s="2771" t="s">
        <v>6093</v>
      </c>
      <c r="H456" s="2762" t="s">
        <v>3303</v>
      </c>
      <c r="I456" s="2771"/>
      <c r="J456" s="2778" t="s">
        <v>6087</v>
      </c>
      <c r="K456" s="2765" t="s">
        <v>6976</v>
      </c>
      <c r="L456" s="1634" t="s">
        <v>139</v>
      </c>
      <c r="M456" s="1634"/>
      <c r="N456" s="2765" t="s">
        <v>2184</v>
      </c>
      <c r="O456" s="2765" t="s">
        <v>6484</v>
      </c>
      <c r="P456" s="2761" t="s">
        <v>6977</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6287</v>
      </c>
      <c r="IZ456" s="2760" t="s">
        <v>6287</v>
      </c>
      <c r="JA456" s="2760" t="s">
        <v>6287</v>
      </c>
      <c r="JB456" s="2760" t="s">
        <v>6287</v>
      </c>
      <c r="JC456" s="2760" t="s">
        <v>6287</v>
      </c>
      <c r="JD456" s="2760" t="s">
        <v>6288</v>
      </c>
      <c r="JE456" s="2760" t="s">
        <v>6288</v>
      </c>
      <c r="JF456" s="2760" t="s">
        <v>6288</v>
      </c>
      <c r="JG456" s="2760" t="s">
        <v>6288</v>
      </c>
      <c r="JH456" s="2760" t="s">
        <v>6288</v>
      </c>
      <c r="JI456" s="2760" t="s">
        <v>6290</v>
      </c>
      <c r="JJ456" s="2760" t="s">
        <v>6290</v>
      </c>
      <c r="JK456" s="2760" t="s">
        <v>6290</v>
      </c>
      <c r="JL456" s="2760" t="s">
        <v>6290</v>
      </c>
      <c r="JM456" s="2760" t="s">
        <v>6290</v>
      </c>
      <c r="JN456" s="2760" t="s">
        <v>6291</v>
      </c>
      <c r="JO456" s="2760" t="s">
        <v>6291</v>
      </c>
      <c r="JP456" s="2760" t="s">
        <v>6291</v>
      </c>
      <c r="JQ456" s="2760" t="s">
        <v>6291</v>
      </c>
      <c r="JR456" s="2760" t="s">
        <v>6291</v>
      </c>
      <c r="JS456" s="2760" t="s">
        <v>6292</v>
      </c>
      <c r="JT456" s="2760" t="s">
        <v>6292</v>
      </c>
      <c r="JU456" s="2760" t="s">
        <v>6292</v>
      </c>
      <c r="JV456" s="2760" t="s">
        <v>6292</v>
      </c>
      <c r="JW456" s="2760" t="s">
        <v>6292</v>
      </c>
      <c r="JX456" s="2760" t="s">
        <v>6485</v>
      </c>
      <c r="JY456" s="2760" t="s">
        <v>6485</v>
      </c>
      <c r="JZ456" s="2760" t="s">
        <v>6485</v>
      </c>
      <c r="KA456" s="2760" t="s">
        <v>6485</v>
      </c>
      <c r="KB456" s="2760" t="s">
        <v>6485</v>
      </c>
      <c r="KC456" s="2760" t="s">
        <v>6650</v>
      </c>
      <c r="KD456" s="2760" t="s">
        <v>6650</v>
      </c>
      <c r="KE456" s="2760" t="s">
        <v>6650</v>
      </c>
      <c r="KF456" s="2760" t="s">
        <v>6650</v>
      </c>
      <c r="KG456" s="2760" t="s">
        <v>6650</v>
      </c>
      <c r="KH456" s="2760" t="s">
        <v>6651</v>
      </c>
      <c r="KI456" s="2760" t="s">
        <v>6651</v>
      </c>
      <c r="KJ456" s="2760" t="s">
        <v>6651</v>
      </c>
      <c r="KK456" s="2760" t="s">
        <v>6651</v>
      </c>
      <c r="KL456" s="2760" t="s">
        <v>6651</v>
      </c>
      <c r="KM456" s="2760" t="s">
        <v>6294</v>
      </c>
      <c r="KN456" s="2760" t="s">
        <v>6294</v>
      </c>
      <c r="KO456" s="2760" t="s">
        <v>6294</v>
      </c>
      <c r="KP456" s="2760" t="s">
        <v>6294</v>
      </c>
      <c r="KQ456" s="2760" t="s">
        <v>6294</v>
      </c>
      <c r="KR456" s="2760" t="s">
        <v>6486</v>
      </c>
      <c r="KS456" s="2760" t="s">
        <v>6486</v>
      </c>
      <c r="KT456" s="2760" t="s">
        <v>6486</v>
      </c>
      <c r="KU456" s="2760" t="s">
        <v>6486</v>
      </c>
      <c r="KV456" s="2760" t="s">
        <v>6486</v>
      </c>
      <c r="KW456" s="2760" t="s">
        <v>6652</v>
      </c>
      <c r="KX456" s="2760" t="s">
        <v>6652</v>
      </c>
      <c r="KY456" s="2760" t="s">
        <v>6652</v>
      </c>
      <c r="KZ456" s="2760" t="s">
        <v>6652</v>
      </c>
      <c r="LA456" s="2760" t="s">
        <v>6652</v>
      </c>
      <c r="LB456" s="2760" t="s">
        <v>6653</v>
      </c>
      <c r="LC456" s="2760" t="s">
        <v>6653</v>
      </c>
      <c r="LD456" s="2760" t="s">
        <v>6653</v>
      </c>
      <c r="LE456" s="2760" t="s">
        <v>6653</v>
      </c>
      <c r="LF456" s="2760" t="s">
        <v>6653</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3933</v>
      </c>
      <c r="C457" s="2765" t="s">
        <v>164</v>
      </c>
      <c r="D457" s="2765" t="s">
        <v>166</v>
      </c>
      <c r="E457" s="2765" t="s">
        <v>1383</v>
      </c>
      <c r="F457" s="2765" t="s">
        <v>1203</v>
      </c>
      <c r="G457" s="2771"/>
      <c r="H457" s="2765" t="s">
        <v>6094</v>
      </c>
      <c r="I457" s="2771"/>
      <c r="J457" s="2778"/>
      <c r="K457" s="2780" t="s">
        <v>334</v>
      </c>
      <c r="L457" s="2765" t="s">
        <v>1432</v>
      </c>
      <c r="M457" s="2765" t="s">
        <v>504</v>
      </c>
      <c r="N457" s="2765" t="s">
        <v>1382</v>
      </c>
      <c r="O457" s="2765" t="s">
        <v>6498</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 customHeight="1">
      <c r="A465" s="2756" t="str">
        <f t="shared" si="0"/>
        <v/>
      </c>
      <c r="B465" s="2575">
        <f>'Part V-Revenues &amp; Expenses'!B18</f>
        <v>60</v>
      </c>
      <c r="C465" s="2576">
        <f>'Part V-Revenues &amp; Expenses'!C18</f>
        <v>1</v>
      </c>
      <c r="D465" s="2577">
        <f>'Part V-Revenues &amp; Expenses'!D18</f>
        <v>1</v>
      </c>
      <c r="E465" s="2578">
        <f>'Part V-Revenues &amp; Expenses'!E18</f>
        <v>129</v>
      </c>
      <c r="F465" s="2578">
        <f>'Part V-Revenues &amp; Expenses'!F18</f>
        <v>607</v>
      </c>
      <c r="G465" s="2578">
        <f>'Part V-Revenues &amp; Expenses'!G18</f>
        <v>834</v>
      </c>
      <c r="H465" s="2578">
        <f>'Part V-Revenues &amp; Expenses'!H18</f>
        <v>1040</v>
      </c>
      <c r="I465" s="2578">
        <f>'Part V-Revenues &amp; Expenses'!I18</f>
        <v>0</v>
      </c>
      <c r="J465" s="2578">
        <f>'Part V-Revenues &amp; Expenses'!J18</f>
        <v>0</v>
      </c>
      <c r="K465" s="2579" t="str">
        <f>'Part V-Revenues &amp; Expenses'!K18</f>
        <v>HUD</v>
      </c>
      <c r="L465" s="2580">
        <f t="shared" si="1"/>
        <v>1040</v>
      </c>
      <c r="M465" s="2580">
        <f t="shared" si="2"/>
        <v>134160</v>
      </c>
      <c r="N465" s="2651" t="str">
        <f>'Part V-Revenues &amp; Expenses'!N18</f>
        <v>No</v>
      </c>
      <c r="O465" s="1320" t="str">
        <f>'Part V-Revenues &amp; Expenses'!O18</f>
        <v>High-Rise Elevator</v>
      </c>
      <c r="P465" s="2651" t="str">
        <f>'Part V-Revenues &amp; Expenses'!P18</f>
        <v>Acquisition/Rehab</v>
      </c>
      <c r="Q465" s="1895" t="str">
        <f>'Part V-Revenues &amp; Expenses'!Q18</f>
        <v>Yes</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129</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129</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78303</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78303</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129</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129</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f t="shared" si="294"/>
        <v>129</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 customHeight="1">
      <c r="A466" s="2756" t="str">
        <f t="shared" si="0"/>
        <v/>
      </c>
      <c r="B466" s="2575">
        <f>'Part V-Revenues &amp; Expenses'!B19</f>
        <v>60</v>
      </c>
      <c r="C466" s="2576">
        <f>'Part V-Revenues &amp; Expenses'!C19</f>
        <v>2</v>
      </c>
      <c r="D466" s="2577">
        <f>'Part V-Revenues &amp; Expenses'!D19</f>
        <v>1</v>
      </c>
      <c r="E466" s="2578">
        <f>'Part V-Revenues &amp; Expenses'!E19</f>
        <v>6</v>
      </c>
      <c r="F466" s="2578">
        <f>'Part V-Revenues &amp; Expenses'!F19</f>
        <v>926</v>
      </c>
      <c r="G466" s="2578">
        <f>'Part V-Revenues &amp; Expenses'!G19</f>
        <v>1000</v>
      </c>
      <c r="H466" s="2578">
        <f>'Part V-Revenues &amp; Expenses'!H19</f>
        <v>1275</v>
      </c>
      <c r="I466" s="2578">
        <f>'Part V-Revenues &amp; Expenses'!I19</f>
        <v>0</v>
      </c>
      <c r="J466" s="2578">
        <f>'Part V-Revenues &amp; Expenses'!J19</f>
        <v>0</v>
      </c>
      <c r="K466" s="2579" t="str">
        <f>'Part V-Revenues &amp; Expenses'!K19</f>
        <v>HUD</v>
      </c>
      <c r="L466" s="2580">
        <f t="shared" si="1"/>
        <v>1275</v>
      </c>
      <c r="M466" s="2580">
        <f t="shared" si="2"/>
        <v>7650</v>
      </c>
      <c r="N466" s="2651" t="str">
        <f>'Part V-Revenues &amp; Expenses'!N19</f>
        <v>No</v>
      </c>
      <c r="O466" s="1320" t="str">
        <f>'Part V-Revenues &amp; Expenses'!O19</f>
        <v>High-Rise Elevator</v>
      </c>
      <c r="P466" s="2651" t="str">
        <f>'Part V-Revenues &amp; Expenses'!P19</f>
        <v>Acquisition/Rehab</v>
      </c>
      <c r="Q466" s="1895" t="str">
        <f>'Part V-Revenues &amp; Expenses'!Q19</f>
        <v>Yes</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6</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6</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5556</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5556</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6</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6</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f t="shared" si="295"/>
        <v>6</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 customHeight="1">
      <c r="A467" s="2756" t="str">
        <f t="shared" si="0"/>
        <v/>
      </c>
      <c r="B467" s="2575">
        <f>'Part V-Revenues &amp; Expenses'!B20</f>
        <v>0</v>
      </c>
      <c r="C467" s="2576">
        <f>'Part V-Revenues &amp; Expenses'!C20</f>
        <v>0</v>
      </c>
      <c r="D467" s="2577">
        <f>'Part V-Revenues &amp; Expenses'!D20</f>
        <v>0</v>
      </c>
      <c r="E467" s="2578">
        <f>'Part V-Revenues &amp; Expenses'!E20</f>
        <v>0</v>
      </c>
      <c r="F467" s="2578">
        <f>'Part V-Revenues &amp; Expenses'!F20</f>
        <v>0</v>
      </c>
      <c r="G467" s="2578">
        <f>'Part V-Revenues &amp; Expenses'!G20</f>
        <v>0</v>
      </c>
      <c r="H467" s="2578">
        <f>'Part V-Revenues &amp; Expenses'!H20</f>
        <v>0</v>
      </c>
      <c r="I467" s="2578">
        <f>'Part V-Revenues &amp; Expenses'!I20</f>
        <v>0</v>
      </c>
      <c r="J467" s="2578">
        <f>'Part V-Revenues &amp; Expenses'!J20</f>
        <v>0</v>
      </c>
      <c r="K467" s="2579">
        <f>'Part V-Revenues &amp; Expenses'!K20</f>
        <v>0</v>
      </c>
      <c r="L467" s="2580">
        <f t="shared" si="1"/>
        <v>0</v>
      </c>
      <c r="M467" s="2580">
        <f t="shared" si="2"/>
        <v>0</v>
      </c>
      <c r="N467" s="2651">
        <f>'Part V-Revenues &amp; Expenses'!N20</f>
        <v>0</v>
      </c>
      <c r="O467" s="1320">
        <f>'Part V-Revenues &amp; Expenses'!O20</f>
        <v>0</v>
      </c>
      <c r="P467" s="2651">
        <f>'Part V-Revenues &amp; Expenses'!P20</f>
        <v>0</v>
      </c>
      <c r="Q467" s="1895">
        <f>'Part V-Revenues &amp; Expenses'!Q20</f>
        <v>0</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 customHeight="1">
      <c r="A496" s="2756">
        <f>COUNT(A458,A459,A460,A461,A462,A463,A464,A465,A466,A467,A468,A469,A470,A471,A472,A473,A474,A475,A476,A477,A478,A479,A480,A481,A482,A483,A484,A485,A486,A487)</f>
        <v>0</v>
      </c>
      <c r="B496" s="2785" t="s">
        <v>3770</v>
      </c>
      <c r="C496" s="2785"/>
      <c r="D496" s="2786" t="s">
        <v>954</v>
      </c>
      <c r="E496" s="2581">
        <f>SUM(E458:E495)</f>
        <v>135</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83859</v>
      </c>
      <c r="H496" s="2583" t="s">
        <v>3767</v>
      </c>
      <c r="I496" s="2787" t="s">
        <v>3768</v>
      </c>
      <c r="J496" s="2584" t="str">
        <f>IF(P514=0,"",IF(SUM(P505:P509)/P514&gt;=0.4,"Pass","Fail"))</f>
        <v>Pass</v>
      </c>
      <c r="K496" s="363"/>
      <c r="L496" s="2788" t="s">
        <v>1225</v>
      </c>
      <c r="M496" s="2585">
        <f>SUM(M458:M495)</f>
        <v>141810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129</v>
      </c>
      <c r="AJ496" s="1749">
        <f t="shared" si="338"/>
        <v>6</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129</v>
      </c>
      <c r="CH496" s="1749">
        <f t="shared" si="338"/>
        <v>6</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78303</v>
      </c>
      <c r="EU496" s="1749">
        <f t="shared" si="338"/>
        <v>5556</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78303</v>
      </c>
      <c r="FY496" s="1749">
        <f t="shared" si="340"/>
        <v>5556</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129</v>
      </c>
      <c r="GX496" s="1749">
        <f t="shared" si="340"/>
        <v>6</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129</v>
      </c>
      <c r="IB496" s="1749">
        <f t="shared" si="341"/>
        <v>6</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129</v>
      </c>
      <c r="LD496" s="1749">
        <f>SUM(LD458:LD495)</f>
        <v>6</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 customHeight="1">
      <c r="B497" s="2789">
        <f>'Part V-Revenues &amp; Expenses'!B50</f>
        <v>60</v>
      </c>
      <c r="C497" s="2789"/>
      <c r="D497" s="2756" t="s">
        <v>3677</v>
      </c>
      <c r="E497" s="2581">
        <f>SUM(E465:E495)</f>
        <v>135</v>
      </c>
      <c r="F497" s="2582">
        <f>(E465*F465+E466*F466+E467*F467+E468*F468+E469*F469+E470*F470+E471*F471+E472*F472+E473*F473+E474*F474+E475*F475+E476*F476+E477*F477+E478*F478+E479*F479+E480*F480+E481*F481+E482*F482+E483*F483+E484*F484+E485*F485+E486*F486+E487*F487+E488*F488+E489*F489+E490*F490+E491*F491+E492*F492+E493*F493+E494*F494+E495*F495)</f>
        <v>83859</v>
      </c>
      <c r="H497" s="2583"/>
      <c r="I497" s="2787" t="s">
        <v>3769</v>
      </c>
      <c r="J497" s="2584" t="str">
        <f>IF(P514=0,"",IF(SUM(P506:P509)/P514&gt;=0.2,"Pass","Fail"))</f>
        <v>Fail</v>
      </c>
      <c r="K497" s="363"/>
      <c r="L497" s="2786" t="s">
        <v>757</v>
      </c>
      <c r="M497" s="2585">
        <f>M496*12</f>
        <v>1701720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90" t="s">
        <v>6978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6643</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6495</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4077</v>
      </c>
      <c r="B503" s="2794"/>
      <c r="C503" s="359" t="s">
        <v>1069</v>
      </c>
      <c r="D503" s="359"/>
      <c r="E503" s="359"/>
      <c r="F503" s="359"/>
      <c r="H503" s="1503" t="s">
        <v>3678</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3679</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129</v>
      </c>
      <c r="M505" s="2586">
        <f>AJ496</f>
        <v>6</v>
      </c>
      <c r="N505" s="2586">
        <f>AK496</f>
        <v>0</v>
      </c>
      <c r="O505" s="2586">
        <f>AL496</f>
        <v>0</v>
      </c>
      <c r="P505" s="2586">
        <f t="shared" si="344"/>
        <v>135</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3680</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3681</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3682</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3764</v>
      </c>
      <c r="D510" s="359"/>
      <c r="E510" s="359"/>
      <c r="F510" s="359"/>
      <c r="H510" s="360"/>
      <c r="I510" s="807"/>
      <c r="K510" s="2586">
        <f>SUM(K503:K509)</f>
        <v>0</v>
      </c>
      <c r="L510" s="2586">
        <f>SUM(L503:L509)</f>
        <v>129</v>
      </c>
      <c r="M510" s="2586">
        <f>SUM(M503:M509)</f>
        <v>6</v>
      </c>
      <c r="N510" s="2586">
        <f>SUM(N503:N509)</f>
        <v>0</v>
      </c>
      <c r="O510" s="2586">
        <f>SUM(O503:O509)</f>
        <v>0</v>
      </c>
      <c r="P510" s="2586">
        <f t="shared" si="344"/>
        <v>135</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129</v>
      </c>
      <c r="M512" s="2587">
        <f>SUM(M510:M511)</f>
        <v>6</v>
      </c>
      <c r="N512" s="2587">
        <f>SUM(N510:N511)</f>
        <v>0</v>
      </c>
      <c r="O512" s="2587">
        <f>SUM(O510:O511)</f>
        <v>0</v>
      </c>
      <c r="P512" s="2587">
        <f t="shared" si="344"/>
        <v>135</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129</v>
      </c>
      <c r="M514" s="2588">
        <f>SUM(M512:M513)</f>
        <v>6</v>
      </c>
      <c r="N514" s="2588">
        <f>SUM(N512:N513)</f>
        <v>0</v>
      </c>
      <c r="O514" s="2588">
        <f>SUM(O512:O513)</f>
        <v>0</v>
      </c>
      <c r="P514" s="2588">
        <f t="shared" si="344"/>
        <v>135</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3773</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3678</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4071</v>
      </c>
      <c r="S517" s="2784"/>
      <c r="T517" s="2784"/>
      <c r="U517" s="2784"/>
      <c r="V517" s="2784"/>
      <c r="W517" s="2784"/>
    </row>
    <row r="518" spans="1:343">
      <c r="A518" s="2794"/>
      <c r="B518" s="2794"/>
      <c r="C518" s="2621"/>
      <c r="H518" s="1503" t="s">
        <v>6979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6981</v>
      </c>
      <c r="E520" s="2621"/>
      <c r="F520" s="2621"/>
      <c r="H520" s="1503" t="s">
        <v>3679</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4069</v>
      </c>
      <c r="D523" s="2621"/>
      <c r="E523" s="2621"/>
      <c r="F523" s="2621"/>
      <c r="H523" s="1503" t="s">
        <v>1081</v>
      </c>
      <c r="I523" s="362"/>
      <c r="J523" s="359"/>
      <c r="K523" s="2803" t="str">
        <f t="shared" ref="K523:P523" si="349">IF(OR(K505=0,K514=0),"",K505/K514)</f>
        <v/>
      </c>
      <c r="L523" s="2803">
        <f t="shared" si="349"/>
        <v>1</v>
      </c>
      <c r="M523" s="2803">
        <f t="shared" si="349"/>
        <v>1</v>
      </c>
      <c r="N523" s="2803" t="str">
        <f t="shared" si="349"/>
        <v/>
      </c>
      <c r="O523" s="2803" t="str">
        <f t="shared" si="349"/>
        <v/>
      </c>
      <c r="P523" s="2803">
        <f t="shared" si="349"/>
        <v>1</v>
      </c>
      <c r="S523" s="2784"/>
      <c r="T523" s="2784"/>
      <c r="U523" s="2784"/>
      <c r="V523" s="2784"/>
      <c r="W523" s="2784"/>
    </row>
    <row r="524" spans="1:343" ht="15.75" customHeight="1">
      <c r="C524" s="2805"/>
      <c r="D524" s="2621"/>
      <c r="E524" s="2621"/>
      <c r="F524" s="2621"/>
      <c r="H524" s="1503" t="s">
        <v>6979</v>
      </c>
      <c r="I524" s="362"/>
      <c r="J524" s="359"/>
      <c r="K524" s="2804" t="str">
        <f>IF(OR(K505=0,P523="",K514=0),"",P523*K514)</f>
        <v/>
      </c>
      <c r="L524" s="2804">
        <f>IF(OR(L505=0,P523="",L514=0),"",P523*L514)</f>
        <v>129</v>
      </c>
      <c r="M524" s="2804">
        <f>IF(OR(M505=0,P523="",M514=0),"",P523*M514)</f>
        <v>6</v>
      </c>
      <c r="N524" s="2804" t="str">
        <f>IF(OR(N505=0,P523="",N514=0),"",P523*N514)</f>
        <v/>
      </c>
      <c r="O524" s="2804" t="str">
        <f>IF(OR(O505=0,P523="",O514=0),"",P523*O514)</f>
        <v/>
      </c>
      <c r="P524" s="2804">
        <f>IF(OR(P523="",P514=0),"",P523*P514)</f>
        <v>135</v>
      </c>
      <c r="S524" s="2784"/>
      <c r="T524" s="2784"/>
      <c r="U524" s="2784"/>
      <c r="V524" s="2784"/>
      <c r="W524" s="2784"/>
    </row>
    <row r="525" spans="1:343" ht="15.75" customHeight="1">
      <c r="C525" s="2805"/>
      <c r="D525" s="2621"/>
      <c r="E525" s="2621"/>
      <c r="F525" s="2621"/>
      <c r="G525" s="2787"/>
      <c r="H525" s="1503" t="s">
        <v>6980</v>
      </c>
      <c r="I525" s="362"/>
      <c r="J525" s="359"/>
      <c r="K525" s="2804" t="str">
        <f t="shared" ref="K525:P525" si="350">IF(OR(K524="",K505=0),"", K505-K524)</f>
        <v/>
      </c>
      <c r="L525" s="2804">
        <f t="shared" si="350"/>
        <v>0</v>
      </c>
      <c r="M525" s="2804">
        <f t="shared" si="350"/>
        <v>0</v>
      </c>
      <c r="N525" s="2804" t="str">
        <f t="shared" si="350"/>
        <v/>
      </c>
      <c r="O525" s="2804" t="str">
        <f t="shared" si="350"/>
        <v/>
      </c>
      <c r="P525" s="2804">
        <f t="shared" si="350"/>
        <v>0</v>
      </c>
    </row>
    <row r="526" spans="1:343">
      <c r="C526" s="2805" t="s">
        <v>4069</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6979</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6980</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4069</v>
      </c>
      <c r="D529" s="2805"/>
      <c r="E529" s="2805"/>
      <c r="H529" s="1503" t="s">
        <v>3680</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4069</v>
      </c>
      <c r="H532" s="1503" t="s">
        <v>3681</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4069</v>
      </c>
      <c r="H535" s="1503" t="s">
        <v>3682</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3678</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3679</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129</v>
      </c>
      <c r="M542" s="2586">
        <f>CH496</f>
        <v>6</v>
      </c>
      <c r="N542" s="2586">
        <f>CI496</f>
        <v>0</v>
      </c>
      <c r="O542" s="2586">
        <f>CJ496</f>
        <v>0</v>
      </c>
      <c r="P542" s="2586">
        <f t="shared" si="359"/>
        <v>135</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3680</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3681</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3682</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129</v>
      </c>
      <c r="M547" s="2588">
        <f>SUM(M540:M546)</f>
        <v>6</v>
      </c>
      <c r="N547" s="2588">
        <f>SUM(N540:N546)</f>
        <v>0</v>
      </c>
      <c r="O547" s="2588">
        <f>SUM(O540:O546)</f>
        <v>0</v>
      </c>
      <c r="P547" s="2588">
        <f t="shared" si="359"/>
        <v>135</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3678</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3679</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3680</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3681</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3682</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129</v>
      </c>
      <c r="M563" s="2586">
        <f>GX496</f>
        <v>6</v>
      </c>
      <c r="N563" s="2586">
        <f>GY496</f>
        <v>0</v>
      </c>
      <c r="O563" s="2586">
        <f>GZ496</f>
        <v>0</v>
      </c>
      <c r="P563" s="2586">
        <f t="shared" si="361"/>
        <v>135</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129</v>
      </c>
      <c r="M565" s="2588">
        <f>SUM(M563:M564)+HH496</f>
        <v>6</v>
      </c>
      <c r="N565" s="2588">
        <f>SUM(N563:N564)+HI496</f>
        <v>0</v>
      </c>
      <c r="O565" s="2588">
        <f>SUM(O563:O564)+HJ496</f>
        <v>0</v>
      </c>
      <c r="P565" s="2588">
        <f t="shared" si="361"/>
        <v>135</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6750</v>
      </c>
      <c r="F570" s="359"/>
      <c r="G570" s="2622"/>
      <c r="H570" s="360"/>
      <c r="K570" s="2586">
        <f>'Part V-Revenues &amp; Expenses'!K123</f>
        <v>0</v>
      </c>
      <c r="L570" s="2586">
        <f>'Part V-Revenues &amp; Expenses'!L123</f>
        <v>129</v>
      </c>
      <c r="M570" s="2586">
        <f>'Part V-Revenues &amp; Expenses'!M123</f>
        <v>6</v>
      </c>
      <c r="N570" s="2586">
        <f>'Part V-Revenues &amp; Expenses'!N123</f>
        <v>0</v>
      </c>
      <c r="O570" s="2586">
        <f>'Part V-Revenues &amp; Expenses'!O123</f>
        <v>0</v>
      </c>
      <c r="P570" s="2586">
        <f t="shared" si="361"/>
        <v>135</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6983</v>
      </c>
      <c r="D574" s="2784"/>
      <c r="E574" s="1503" t="s">
        <v>36</v>
      </c>
      <c r="F574" s="359"/>
      <c r="G574" s="2622"/>
      <c r="H574" s="360"/>
      <c r="K574" s="2588">
        <f t="shared" ref="K574:P574" si="362">SUM(K575:K582)</f>
        <v>0</v>
      </c>
      <c r="L574" s="2588">
        <f t="shared" si="362"/>
        <v>129</v>
      </c>
      <c r="M574" s="2588">
        <f t="shared" si="362"/>
        <v>6</v>
      </c>
      <c r="N574" s="2588">
        <f t="shared" si="362"/>
        <v>0</v>
      </c>
      <c r="O574" s="2588">
        <f t="shared" si="362"/>
        <v>0</v>
      </c>
      <c r="P574" s="2588">
        <f t="shared" si="362"/>
        <v>135</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6293</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6480</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6295</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6487</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129</v>
      </c>
      <c r="M582" s="2587">
        <f>LD496</f>
        <v>6</v>
      </c>
      <c r="N582" s="2587">
        <f>LE496</f>
        <v>0</v>
      </c>
      <c r="O582" s="2587">
        <f>LF496</f>
        <v>0</v>
      </c>
      <c r="P582" s="2587">
        <f t="shared" si="363"/>
        <v>135</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6482</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6483</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6289</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6984</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129</v>
      </c>
      <c r="M601" s="2587">
        <f t="shared" si="367"/>
        <v>6</v>
      </c>
      <c r="N601" s="2587">
        <f t="shared" si="367"/>
        <v>0</v>
      </c>
      <c r="O601" s="2587">
        <f t="shared" si="367"/>
        <v>0</v>
      </c>
      <c r="P601" s="2589">
        <f t="shared" si="365"/>
        <v>135</v>
      </c>
      <c r="Q601" s="2815" t="s">
        <v>6985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3679</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78303</v>
      </c>
      <c r="M606" s="2590">
        <f>EU496</f>
        <v>5556</v>
      </c>
      <c r="N606" s="2590">
        <f>EV496</f>
        <v>0</v>
      </c>
      <c r="O606" s="2590">
        <f>EW496</f>
        <v>0</v>
      </c>
      <c r="P606" s="2590">
        <f t="shared" si="368"/>
        <v>83859</v>
      </c>
      <c r="Q606" s="2804">
        <f t="shared" si="369"/>
        <v>621.17777777777781</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3680</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3681</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3763</v>
      </c>
      <c r="I611" s="2812"/>
      <c r="J611" s="2797"/>
      <c r="K611" s="2591">
        <f>SUM(K604:K610)</f>
        <v>0</v>
      </c>
      <c r="L611" s="2591">
        <f>SUM(L604:L610)</f>
        <v>78303</v>
      </c>
      <c r="M611" s="2591">
        <f>SUM(M604:M610)</f>
        <v>5556</v>
      </c>
      <c r="N611" s="2591">
        <f>SUM(N604:N610)</f>
        <v>0</v>
      </c>
      <c r="O611" s="2591">
        <f>SUM(O604:O610)</f>
        <v>0</v>
      </c>
      <c r="P611" s="2591">
        <f>SUM(K611:O611)</f>
        <v>83859</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78303</v>
      </c>
      <c r="M613" s="2592">
        <f>SUM(M611:M612)</f>
        <v>5556</v>
      </c>
      <c r="N613" s="2592">
        <f>SUM(N611:N612)</f>
        <v>0</v>
      </c>
      <c r="O613" s="2592">
        <f>SUM(O611:O612)</f>
        <v>0</v>
      </c>
      <c r="P613" s="2592">
        <f>SUM(K613:O613)</f>
        <v>83859</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78303</v>
      </c>
      <c r="M615" s="2593">
        <f>SUM(M613:M614)</f>
        <v>5556</v>
      </c>
      <c r="N615" s="2593">
        <f>SUM(N613:N614)</f>
        <v>0</v>
      </c>
      <c r="O615" s="2593">
        <f>SUM(O613:O614)</f>
        <v>0</v>
      </c>
      <c r="P615" s="2593">
        <f>SUM(K615:O615)</f>
        <v>83859</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818" t="str">
        <f>IF(OR(K514="",K514=0),"",K615/K514)</f>
        <v/>
      </c>
      <c r="L618" s="2818">
        <f>IF(OR(L514="",L514=0),"",L615/L514)</f>
        <v>607</v>
      </c>
      <c r="M618" s="2818">
        <f>IF(OR(M514="",M514=0),"",M615/M514)</f>
        <v>926</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6987</v>
      </c>
      <c r="K621" s="2549">
        <f>'Part V-Revenues &amp; Expenses'!K174</f>
        <v>81398</v>
      </c>
      <c r="L621" s="2549"/>
      <c r="Z621" s="1622">
        <v>68</v>
      </c>
    </row>
    <row r="622" spans="1:380" s="1819" customFormat="1" ht="13.35" customHeight="1">
      <c r="A622" s="2615"/>
      <c r="C622" s="377" t="s">
        <v>242</v>
      </c>
      <c r="K622" s="2549">
        <f>P615+K621</f>
        <v>165257</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34034.400000000001</v>
      </c>
      <c r="I626" s="2820"/>
      <c r="J626" s="2810" t="s">
        <v>6989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t="str">
        <f>'Part V-Revenues &amp; Expenses'!C184</f>
        <v>Resident Services Coordinator Grant</v>
      </c>
      <c r="D631" s="1503"/>
      <c r="E631" s="1503"/>
      <c r="F631" s="1503"/>
      <c r="H631" s="2824">
        <f>'Part V-Revenues &amp; Expenses'!H184</f>
        <v>82904</v>
      </c>
      <c r="I631" s="2824">
        <f>'Part V-Revenues &amp; Expenses'!I184</f>
        <v>84562.08</v>
      </c>
      <c r="J631" s="2824">
        <f>'Part V-Revenues &amp; Expenses'!J184</f>
        <v>86253.32160000001</v>
      </c>
      <c r="K631" s="2824">
        <f>'Part V-Revenues &amp; Expenses'!K184</f>
        <v>87978.388032000017</v>
      </c>
      <c r="L631" s="2824">
        <f>'Part V-Revenues &amp; Expenses'!L184</f>
        <v>89737.955792640016</v>
      </c>
      <c r="M631" s="2824">
        <f>'Part V-Revenues &amp; Expenses'!M184</f>
        <v>91532.714908492824</v>
      </c>
      <c r="N631" s="2824">
        <f>'Part V-Revenues &amp; Expenses'!N184</f>
        <v>93363.369206662683</v>
      </c>
      <c r="O631" s="2824">
        <f>'Part V-Revenues &amp; Expenses'!O184</f>
        <v>95230.636590795941</v>
      </c>
      <c r="P631" s="2824">
        <f>'Part V-Revenues &amp; Expenses'!P184</f>
        <v>97135.249322611868</v>
      </c>
      <c r="Q631" s="2824">
        <f>'Part V-Revenues &amp; Expenses'!Q184</f>
        <v>99077.954309064109</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82904</v>
      </c>
      <c r="I632" s="2597">
        <f>SUM(I630:I631)</f>
        <v>84562.08</v>
      </c>
      <c r="J632" s="2597">
        <f t="shared" ref="J632:Q632" si="370">SUM(J630:J631)</f>
        <v>86253.32160000001</v>
      </c>
      <c r="K632" s="2597">
        <f t="shared" si="370"/>
        <v>87978.388032000017</v>
      </c>
      <c r="L632" s="2597">
        <f t="shared" si="370"/>
        <v>89737.955792640016</v>
      </c>
      <c r="M632" s="2597">
        <f t="shared" si="370"/>
        <v>91532.714908492824</v>
      </c>
      <c r="N632" s="2597">
        <f t="shared" si="370"/>
        <v>93363.369206662683</v>
      </c>
      <c r="O632" s="2597">
        <f t="shared" si="370"/>
        <v>95230.636590795941</v>
      </c>
      <c r="P632" s="2597">
        <f t="shared" si="370"/>
        <v>97135.249322611868</v>
      </c>
      <c r="Q632" s="2597">
        <f t="shared" si="370"/>
        <v>99077.954309064109</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t="str">
        <f>'Part V-Revenues &amp; Expenses'!C193</f>
        <v>Resident Services Coordinator Grant</v>
      </c>
      <c r="D640" s="1503"/>
      <c r="E640" s="1503"/>
      <c r="F640" s="1503"/>
      <c r="H640" s="2824">
        <f>'Part V-Revenues &amp; Expenses'!H193</f>
        <v>101059.51339524539</v>
      </c>
      <c r="I640" s="2824">
        <f>'Part V-Revenues &amp; Expenses'!I193</f>
        <v>103080.7036631503</v>
      </c>
      <c r="J640" s="2824">
        <f>'Part V-Revenues &amp; Expenses'!J193</f>
        <v>105142.3177364133</v>
      </c>
      <c r="K640" s="2824">
        <f>'Part V-Revenues &amp; Expenses'!K193</f>
        <v>107245.16409114157</v>
      </c>
      <c r="L640" s="2824">
        <f>'Part V-Revenues &amp; Expenses'!L193</f>
        <v>109390.0673729644</v>
      </c>
      <c r="M640" s="2824">
        <f>'Part V-Revenues &amp; Expenses'!M193</f>
        <v>111577.86872042369</v>
      </c>
      <c r="N640" s="2824">
        <f>'Part V-Revenues &amp; Expenses'!N193</f>
        <v>113809.42609483216</v>
      </c>
      <c r="O640" s="2824">
        <f>'Part V-Revenues &amp; Expenses'!O193</f>
        <v>116085.61461672881</v>
      </c>
      <c r="P640" s="2824">
        <f>'Part V-Revenues &amp; Expenses'!P193</f>
        <v>118407.32690906338</v>
      </c>
      <c r="Q640" s="2824">
        <f>'Part V-Revenues &amp; Expenses'!Q193</f>
        <v>120775.47344724466</v>
      </c>
      <c r="R640" s="2818"/>
      <c r="S640" s="2784"/>
      <c r="T640" s="2784"/>
      <c r="U640" s="2784"/>
      <c r="V640" s="2784"/>
      <c r="W640" s="2784"/>
    </row>
    <row r="641" spans="2:343" ht="15.6" customHeight="1">
      <c r="B641" s="1503"/>
      <c r="C641" s="1503" t="s">
        <v>870</v>
      </c>
      <c r="D641" s="1503"/>
      <c r="E641" s="1503"/>
      <c r="F641" s="1503"/>
      <c r="H641" s="2597">
        <f>SUM(H639:H640)</f>
        <v>101059.51339524539</v>
      </c>
      <c r="I641" s="2597">
        <f>SUM(I639:I640)</f>
        <v>103080.7036631503</v>
      </c>
      <c r="J641" s="2597">
        <f t="shared" ref="J641:Q641" si="372">SUM(J639:J640)</f>
        <v>105142.3177364133</v>
      </c>
      <c r="K641" s="2597">
        <f t="shared" si="372"/>
        <v>107245.16409114157</v>
      </c>
      <c r="L641" s="2597">
        <f t="shared" si="372"/>
        <v>109390.0673729644</v>
      </c>
      <c r="M641" s="2597">
        <f t="shared" si="372"/>
        <v>111577.86872042369</v>
      </c>
      <c r="N641" s="2597">
        <f t="shared" si="372"/>
        <v>113809.42609483216</v>
      </c>
      <c r="O641" s="2597">
        <f t="shared" si="372"/>
        <v>116085.61461672881</v>
      </c>
      <c r="P641" s="2597">
        <f t="shared" si="372"/>
        <v>118407.32690906338</v>
      </c>
      <c r="Q641" s="2597">
        <f t="shared" si="372"/>
        <v>120775.47344724466</v>
      </c>
      <c r="R641" s="363"/>
      <c r="S641" s="2784"/>
      <c r="T641" s="2784"/>
      <c r="U641" s="2784"/>
      <c r="V641" s="2784"/>
      <c r="W641" s="2784"/>
    </row>
    <row r="642" spans="2:343" ht="15.6" customHeight="1">
      <c r="B642" s="2823" t="s">
        <v>6990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t="str">
        <f>'Part V-Revenues &amp; Expenses'!C202</f>
        <v>Resident Services Coordinator</v>
      </c>
      <c r="D649" s="1503"/>
      <c r="E649" s="1503"/>
      <c r="F649" s="1503"/>
      <c r="H649" s="2824">
        <f>'Part V-Revenues &amp; Expenses'!H202</f>
        <v>123190.98291618955</v>
      </c>
      <c r="I649" s="2824">
        <f>'Part V-Revenues &amp; Expenses'!I202</f>
        <v>125654.80257451333</v>
      </c>
      <c r="J649" s="2824">
        <f>'Part V-Revenues &amp; Expenses'!J202</f>
        <v>128167.8986260036</v>
      </c>
      <c r="K649" s="2824">
        <f>'Part V-Revenues &amp; Expenses'!K202</f>
        <v>130731.25659852367</v>
      </c>
      <c r="L649" s="2824">
        <f>'Part V-Revenues &amp; Expenses'!L202</f>
        <v>133345.88173049415</v>
      </c>
      <c r="M649" s="2824">
        <f>'Part V-Revenues &amp; Expenses'!M202</f>
        <v>136012.79936510403</v>
      </c>
      <c r="N649" s="2824">
        <f>'Part V-Revenues &amp; Expenses'!N202</f>
        <v>138733.05535240611</v>
      </c>
      <c r="O649" s="2824">
        <f>'Part V-Revenues &amp; Expenses'!O202</f>
        <v>141507.71645945424</v>
      </c>
      <c r="P649" s="2824">
        <f>'Part V-Revenues &amp; Expenses'!P202</f>
        <v>144337.87078864334</v>
      </c>
      <c r="Q649" s="2824">
        <f>'Part V-Revenues &amp; Expenses'!Q202</f>
        <v>147224.62820441622</v>
      </c>
      <c r="R649" s="2818"/>
      <c r="S649" s="2784"/>
      <c r="T649" s="2784"/>
      <c r="U649" s="2784"/>
      <c r="V649" s="2784"/>
      <c r="W649" s="2784"/>
    </row>
    <row r="650" spans="2:343" ht="15.6" customHeight="1">
      <c r="B650" s="1503"/>
      <c r="C650" s="1503" t="s">
        <v>870</v>
      </c>
      <c r="D650" s="1503"/>
      <c r="E650" s="1503"/>
      <c r="F650" s="1503"/>
      <c r="H650" s="2597">
        <f>SUM(H648:H649)</f>
        <v>123190.98291618955</v>
      </c>
      <c r="I650" s="2597">
        <f>SUM(I648:I649)</f>
        <v>125654.80257451333</v>
      </c>
      <c r="J650" s="2597">
        <f t="shared" ref="J650:Q650" si="374">SUM(J648:J649)</f>
        <v>128167.8986260036</v>
      </c>
      <c r="K650" s="2597">
        <f t="shared" si="374"/>
        <v>130731.25659852367</v>
      </c>
      <c r="L650" s="2597">
        <f t="shared" si="374"/>
        <v>133345.88173049415</v>
      </c>
      <c r="M650" s="2597">
        <f t="shared" si="374"/>
        <v>136012.79936510403</v>
      </c>
      <c r="N650" s="2597">
        <f t="shared" si="374"/>
        <v>138733.05535240611</v>
      </c>
      <c r="O650" s="2597">
        <f t="shared" si="374"/>
        <v>141507.71645945424</v>
      </c>
      <c r="P650" s="2597">
        <f t="shared" si="374"/>
        <v>144337.87078864334</v>
      </c>
      <c r="Q650" s="2597">
        <f t="shared" si="374"/>
        <v>147224.62820441622</v>
      </c>
      <c r="R650" s="363"/>
      <c r="S650" s="2784"/>
      <c r="T650" s="2784"/>
      <c r="U650" s="2784"/>
      <c r="V650" s="2784"/>
      <c r="W650" s="2784"/>
    </row>
    <row r="651" spans="2:343" ht="15.6" customHeight="1">
      <c r="B651" s="2823" t="s">
        <v>6990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t="str">
        <f>'Part V-Revenues &amp; Expenses'!C211</f>
        <v>Resident Services Coordinator</v>
      </c>
      <c r="D658" s="1503"/>
      <c r="E658" s="1503"/>
      <c r="F658" s="1503"/>
      <c r="H658" s="2824">
        <f>'Part V-Revenues &amp; Expenses'!H211</f>
        <v>150169.12076850454</v>
      </c>
      <c r="I658" s="2824">
        <f>'Part V-Revenues &amp; Expenses'!I211</f>
        <v>153172.50318387462</v>
      </c>
      <c r="J658" s="2824">
        <f>'Part V-Revenues &amp; Expenses'!J211</f>
        <v>156235.95324755213</v>
      </c>
      <c r="K658" s="2824">
        <f>'Part V-Revenues &amp; Expenses'!K211</f>
        <v>159360.67231250319</v>
      </c>
      <c r="L658" s="2824">
        <f>'Part V-Revenues &amp; Expenses'!L211</f>
        <v>162547.88575875325</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150169.12076850454</v>
      </c>
      <c r="I659" s="2597">
        <f>SUM(I657:I658)</f>
        <v>153172.50318387462</v>
      </c>
      <c r="J659" s="2597">
        <f>SUM(J657:J658)</f>
        <v>156235.95324755213</v>
      </c>
      <c r="K659" s="2597">
        <f>SUM(K657:K658)</f>
        <v>159360.67231250319</v>
      </c>
      <c r="L659" s="2597">
        <f>SUM(L657:L658)</f>
        <v>162547.88575875325</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60615</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96196</v>
      </c>
      <c r="G668" s="2590"/>
      <c r="I668" s="359" t="s">
        <v>1300</v>
      </c>
      <c r="L668" s="2590">
        <f>'Part V-Revenues &amp; Expenses'!L221</f>
        <v>0</v>
      </c>
      <c r="M668" s="2590"/>
      <c r="O668" s="2599">
        <f>+Q667/(P514*0.93)</f>
        <v>482.79569892473114</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97736</v>
      </c>
      <c r="G669" s="2590"/>
      <c r="I669" s="359" t="s">
        <v>1301</v>
      </c>
      <c r="L669" s="2590">
        <f>'Part V-Revenues &amp; Expenses'!L222</f>
        <v>3360</v>
      </c>
      <c r="M669" s="2590"/>
      <c r="O669" s="2599">
        <f>+Q667/(P514*0.93)/12</f>
        <v>40.232974910394262</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3360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6633</v>
      </c>
      <c r="F671" s="2590">
        <f>'Part V-Revenues &amp; Expenses'!F224</f>
        <v>82904</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4021</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Health Insurance, Payroll Taxes</v>
      </c>
      <c r="C673" s="362"/>
      <c r="D673" s="362"/>
      <c r="E673" s="362"/>
      <c r="F673" s="2590">
        <f>'Part V-Revenues &amp; Expenses'!F226</f>
        <v>50721</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327557</v>
      </c>
      <c r="G674" s="2590"/>
      <c r="I674" s="359" t="s">
        <v>1497</v>
      </c>
      <c r="L674" s="2590">
        <f>'Part V-Revenues &amp; Expenses'!L227</f>
        <v>5600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2500</v>
      </c>
      <c r="M675" s="2590"/>
      <c r="N675" s="2771" t="str">
        <f>IF(Q677="","",IF(Q675&lt;Q677, "WARNING! OE below required minimum.",""))</f>
        <v/>
      </c>
      <c r="O675" s="1747" t="s">
        <v>2029</v>
      </c>
      <c r="Q675" s="2818">
        <f>F674+F683+F694+L670+L678+L688+L694+Q667</f>
        <v>858276.00793600001</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0</v>
      </c>
      <c r="M676" s="2590"/>
      <c r="N676" s="2771"/>
      <c r="O676" s="2799" t="s">
        <v>2486</v>
      </c>
      <c r="P676" s="2599">
        <f>+Q675/P514</f>
        <v>6357.600058785185</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831"/>
      <c r="F677" s="2590">
        <f>'Part V-Revenues &amp; Expenses'!F230</f>
        <v>15300</v>
      </c>
      <c r="G677" s="2590"/>
      <c r="I677" s="2832" t="str">
        <f>'Part V-Revenues &amp; Expenses'!I230</f>
        <v>Audit</v>
      </c>
      <c r="J677" s="2832"/>
      <c r="K677" s="2832"/>
      <c r="L677" s="2590">
        <f>'Part V-Revenues &amp; Expenses'!L230</f>
        <v>8100</v>
      </c>
      <c r="M677" s="2590"/>
      <c r="N677" s="2771"/>
      <c r="P677" s="2799" t="s">
        <v>3224</v>
      </c>
      <c r="Q677" s="2818">
        <f>'Part V-Revenues &amp; Expenses'!Q230</f>
        <v>607500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11700</v>
      </c>
      <c r="G678" s="2590"/>
      <c r="I678" s="1747"/>
      <c r="K678" s="2828" t="s">
        <v>184</v>
      </c>
      <c r="L678" s="2818">
        <f>SUM(L674:L677)</f>
        <v>16200</v>
      </c>
      <c r="M678" s="2818"/>
      <c r="N678" s="2771"/>
      <c r="O678" s="2833" t="s">
        <v>6726</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831"/>
      <c r="F681" s="2590">
        <f>'Part V-Revenues &amp; Expenses'!F234</f>
        <v>4400</v>
      </c>
      <c r="G681" s="2590"/>
      <c r="I681" s="1747" t="s">
        <v>1297</v>
      </c>
      <c r="K681" s="1622" t="s">
        <v>3885</v>
      </c>
      <c r="O681" s="1747" t="s">
        <v>3085</v>
      </c>
      <c r="P681" s="1747"/>
      <c r="Q681" s="2600">
        <f>'Part V-Revenues &amp; Expenses'!Q234</f>
        <v>56700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f>'Part V-Revenues &amp; Expenses'!B235</f>
        <v>0</v>
      </c>
      <c r="C682" s="362"/>
      <c r="D682" s="362"/>
      <c r="E682" s="362"/>
      <c r="F682" s="2590">
        <f>'Part V-Revenues &amp; Expenses'!F235</f>
        <v>0</v>
      </c>
      <c r="G682" s="2590"/>
      <c r="I682" s="359" t="s">
        <v>1290</v>
      </c>
      <c r="K682" s="2717">
        <f>L682/12/P514</f>
        <v>57.933950617283948</v>
      </c>
      <c r="L682" s="2590">
        <f>'Part V-Revenues &amp; Expenses'!L235</f>
        <v>93853</v>
      </c>
      <c r="M682" s="2590"/>
      <c r="N682" s="2771" t="str">
        <f>IF(Q681&lt;Q690, "WARNING! RR proposed is below the DCA required minimum.","")</f>
        <v/>
      </c>
      <c r="O682" s="362" t="s">
        <v>3884</v>
      </c>
      <c r="Q682" s="2601" t="e">
        <f>Q681/P690</f>
        <v>#DIV/0!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31400</v>
      </c>
      <c r="G683" s="2590"/>
      <c r="I683" s="359" t="s">
        <v>1291</v>
      </c>
      <c r="K683" s="2717">
        <f>L683/12/P514</f>
        <v>8.8888888888888893</v>
      </c>
      <c r="L683" s="2590">
        <f>'Part V-Revenues &amp; Expenses'!L236</f>
        <v>14400</v>
      </c>
      <c r="M683" s="2590"/>
      <c r="N683" s="2771"/>
      <c r="O683" s="2834" t="s">
        <v>3231</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3930</v>
      </c>
      <c r="K684" s="2717">
        <f>L684/12/P514</f>
        <v>19.911111111111111</v>
      </c>
      <c r="L684" s="2590">
        <f>'Part V-Revenues &amp; Expenses'!L237</f>
        <v>32256</v>
      </c>
      <c r="M684" s="2590"/>
      <c r="N684" s="2771"/>
      <c r="O684" s="2835" t="s">
        <v>2464</v>
      </c>
      <c r="P684" s="2836" t="s">
        <v>3285</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831"/>
      <c r="I685" s="359" t="s">
        <v>1293</v>
      </c>
      <c r="K685" s="2717">
        <f>L685/12/P514</f>
        <v>7.8105185185185189</v>
      </c>
      <c r="L685" s="2590">
        <f>'Part V-Revenues &amp; Expenses'!L238</f>
        <v>12653.04</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6450</v>
      </c>
      <c r="G686" s="2590"/>
      <c r="I686" s="359" t="s">
        <v>6992</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17500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0</v>
      </c>
      <c r="G688" s="2590"/>
      <c r="K688" s="2828" t="s">
        <v>184</v>
      </c>
      <c r="L688" s="2818">
        <f>SUM(L682:L687)</f>
        <v>153162.04</v>
      </c>
      <c r="M688" s="2818"/>
      <c r="N688" s="2771"/>
      <c r="O688" s="2675" t="s">
        <v>6500</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12720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831"/>
      <c r="F690" s="2590">
        <f>'Part V-Revenues &amp; Expenses'!F243</f>
        <v>10000</v>
      </c>
      <c r="G690" s="2590"/>
      <c r="I690" s="1747" t="s">
        <v>1298</v>
      </c>
      <c r="O690" s="2788" t="s">
        <v>2467</v>
      </c>
      <c r="P690" s="2782">
        <f>'Part V-Revenues &amp; Expenses'!P243</f>
        <v>0</v>
      </c>
      <c r="Q690" s="2838">
        <f>SUM(Q686:Q689)</f>
        <v>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6450</v>
      </c>
      <c r="G691" s="2590"/>
      <c r="I691" s="359" t="s">
        <v>6993</v>
      </c>
      <c r="L691" s="2590">
        <f>'Part V-Revenues &amp; Expenses'!L244</f>
        <v>84684.557935999997</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113863.41</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Fire &amp; Safety Systems Contract</v>
      </c>
      <c r="C693" s="362"/>
      <c r="D693" s="362"/>
      <c r="E693" s="362"/>
      <c r="F693" s="2590">
        <f>'Part V-Revenues &amp; Expenses'!F246</f>
        <v>14314</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828" t="s">
        <v>184</v>
      </c>
      <c r="F694" s="2590">
        <f>SUM(F686:G693)</f>
        <v>67434</v>
      </c>
      <c r="G694" s="2590"/>
      <c r="K694" s="2828" t="s">
        <v>184</v>
      </c>
      <c r="L694" s="2818">
        <f>SUM(L690:L693)</f>
        <v>198547.967936</v>
      </c>
      <c r="M694" s="2818"/>
      <c r="O694" s="1747" t="s">
        <v>2030</v>
      </c>
      <c r="Q694" s="2818">
        <f>Q675+Q681</f>
        <v>914976.00793600001</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828"/>
      <c r="H698" s="2586"/>
      <c r="I698" s="2602" t="s">
        <v>3875</v>
      </c>
      <c r="K698" s="2818">
        <f>'Part V-Revenues &amp; Expenses'!K251</f>
        <v>0</v>
      </c>
      <c r="L698" s="2818"/>
      <c r="M698" s="2830" t="s">
        <v>3902</v>
      </c>
      <c r="N698" s="2804">
        <f>'Part V-Revenues &amp; Expenses'!N251</f>
        <v>0</v>
      </c>
      <c r="O698" s="1747" t="s">
        <v>3877</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828"/>
      <c r="F700" s="2586"/>
      <c r="G700" s="2586"/>
      <c r="J700" s="1894" t="str">
        <f>'Part V-Revenues &amp; Expenses'!J253</f>
        <v>No</v>
      </c>
      <c r="K700" s="2602" t="s">
        <v>3905</v>
      </c>
      <c r="L700" s="1894" t="str">
        <f>'Part V-Revenues &amp; Expenses'!L253</f>
        <v>No</v>
      </c>
      <c r="M700" s="1894" t="s">
        <v>3906</v>
      </c>
      <c r="N700" s="2804">
        <f>'Part V-Revenues &amp; Expenses'!N253</f>
        <v>0</v>
      </c>
      <c r="O700" s="359" t="s">
        <v>3904</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3375</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Richmond Summit,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6994</v>
      </c>
    </row>
    <row r="712" spans="1:11">
      <c r="C712" s="2771"/>
    </row>
    <row r="713" spans="1:11" ht="12.75" customHeight="1">
      <c r="A713" s="357" t="s">
        <v>2031</v>
      </c>
      <c r="B713" s="2841">
        <f>'DCA Underwriting Assumptions'!$Q$99</f>
        <v>0.02</v>
      </c>
      <c r="C713" s="2771"/>
      <c r="D713" s="2784" t="s">
        <v>6995</v>
      </c>
      <c r="E713" s="2784"/>
      <c r="F713" s="2784"/>
      <c r="G713" s="2603">
        <f>'Part VI-Pro Forma'!G6</f>
        <v>7500</v>
      </c>
      <c r="H713" s="2814" t="s">
        <v>1768</v>
      </c>
      <c r="K713" s="2842">
        <f>'Part VI-Pro Forma'!K6</f>
        <v>-4.3305773846809394E-3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3.4999726422991352E-2</v>
      </c>
    </row>
    <row r="716" spans="1:11">
      <c r="A716" s="357" t="s">
        <v>2033</v>
      </c>
      <c r="B716" s="2841">
        <f>'Part VI-Pro Forma'!B9</f>
        <v>0.05</v>
      </c>
      <c r="C716" s="2615" t="str">
        <f>IF(B716&lt;0.07, "Must be &gt;= 7%!","")</f>
        <v>Must be &gt;= 7%!</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3.5000000000000003E-2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1701720</v>
      </c>
      <c r="C722" s="2606">
        <f>'Part VI-Pro Forma'!C15</f>
        <v>1735754.4000000001</v>
      </c>
      <c r="D722" s="2606">
        <f>'Part VI-Pro Forma'!D15</f>
        <v>1770469.4879999999</v>
      </c>
      <c r="E722" s="2606">
        <f>'Part VI-Pro Forma'!E15</f>
        <v>1805878.8777599998</v>
      </c>
      <c r="F722" s="2606">
        <f>'Part VI-Pro Forma'!F15</f>
        <v>1841996.4553151999</v>
      </c>
      <c r="G722" s="2606">
        <f>'Part VI-Pro Forma'!G15</f>
        <v>1878836.3844215041</v>
      </c>
      <c r="H722" s="2606">
        <f>'Part VI-Pro Forma'!H15</f>
        <v>1916413.1121099342</v>
      </c>
      <c r="I722" s="2606">
        <f>'Part VI-Pro Forma'!I15</f>
        <v>1954741.3743521324</v>
      </c>
      <c r="J722" s="2606">
        <f>'Part VI-Pro Forma'!J15</f>
        <v>1993836.2018391753</v>
      </c>
      <c r="K722" s="2606">
        <f>'Part VI-Pro Forma'!K15</f>
        <v>2033712.9258759588</v>
      </c>
    </row>
    <row r="723" spans="1:11">
      <c r="A723" s="357" t="s">
        <v>952</v>
      </c>
      <c r="B723" s="2606">
        <f>'Part VI-Pro Forma'!B16</f>
        <v>34034.400000000001</v>
      </c>
      <c r="C723" s="2606">
        <f>'Part VI-Pro Forma'!C16</f>
        <v>34715.088000000003</v>
      </c>
      <c r="D723" s="2606">
        <f>'Part VI-Pro Forma'!D16</f>
        <v>35409.389759999998</v>
      </c>
      <c r="E723" s="2606">
        <f>'Part VI-Pro Forma'!E16</f>
        <v>36117.577555199998</v>
      </c>
      <c r="F723" s="2606">
        <f>'Part VI-Pro Forma'!F16</f>
        <v>36839.929106304</v>
      </c>
      <c r="G723" s="2606">
        <f>'Part VI-Pro Forma'!G16</f>
        <v>37576.727688430081</v>
      </c>
      <c r="H723" s="2606">
        <f>'Part VI-Pro Forma'!H16</f>
        <v>38328.262242198689</v>
      </c>
      <c r="I723" s="2606">
        <f>'Part VI-Pro Forma'!I16</f>
        <v>39094.827487042654</v>
      </c>
      <c r="J723" s="2606">
        <f>'Part VI-Pro Forma'!J16</f>
        <v>39876.724036783504</v>
      </c>
      <c r="K723" s="2606">
        <f>'Part VI-Pro Forma'!K16</f>
        <v>40674.258517519178</v>
      </c>
    </row>
    <row r="724" spans="1:11">
      <c r="A724" s="357" t="s">
        <v>2216</v>
      </c>
      <c r="B724" s="2606">
        <f>'Part VI-Pro Forma'!B17</f>
        <v>-86787.72</v>
      </c>
      <c r="C724" s="2606">
        <f>'Part VI-Pro Forma'!C17</f>
        <v>-88523.474400000006</v>
      </c>
      <c r="D724" s="2606">
        <f>'Part VI-Pro Forma'!D17</f>
        <v>-90293.943887999994</v>
      </c>
      <c r="E724" s="2606">
        <f>'Part VI-Pro Forma'!E17</f>
        <v>-92099.822765760007</v>
      </c>
      <c r="F724" s="2606">
        <f>'Part VI-Pro Forma'!F17</f>
        <v>-93941.819221075202</v>
      </c>
      <c r="G724" s="2606">
        <f>'Part VI-Pro Forma'!G17</f>
        <v>-95820.655605496722</v>
      </c>
      <c r="H724" s="2606">
        <f>'Part VI-Pro Forma'!H17</f>
        <v>-97737.068717606657</v>
      </c>
      <c r="I724" s="2606">
        <f>'Part VI-Pro Forma'!I17</f>
        <v>-99691.81009195876</v>
      </c>
      <c r="J724" s="2606">
        <f>'Part VI-Pro Forma'!J17</f>
        <v>-101685.64629379794</v>
      </c>
      <c r="K724" s="2606">
        <f>'Part VI-Pro Forma'!K17</f>
        <v>-103719.3592196739</v>
      </c>
    </row>
    <row r="725" spans="1:11">
      <c r="A725" s="357" t="s">
        <v>47</v>
      </c>
      <c r="B725" s="2606">
        <f>'Part VI-Pro Forma'!B18</f>
        <v>82904</v>
      </c>
      <c r="C725" s="2606">
        <f>'Part VI-Pro Forma'!C18</f>
        <v>84562.08</v>
      </c>
      <c r="D725" s="2606">
        <f>'Part VI-Pro Forma'!D18</f>
        <v>86253.32160000001</v>
      </c>
      <c r="E725" s="2606">
        <f>'Part VI-Pro Forma'!E18</f>
        <v>87978.388032000017</v>
      </c>
      <c r="F725" s="2606">
        <f>'Part VI-Pro Forma'!F18</f>
        <v>89737.955792640016</v>
      </c>
      <c r="G725" s="2606">
        <f>'Part VI-Pro Forma'!G18</f>
        <v>91532.714908492824</v>
      </c>
      <c r="H725" s="2606">
        <f>'Part VI-Pro Forma'!H18</f>
        <v>93363.369206662683</v>
      </c>
      <c r="I725" s="2606">
        <f>'Part VI-Pro Forma'!I18</f>
        <v>95230.636590795941</v>
      </c>
      <c r="J725" s="2606">
        <f>'Part VI-Pro Forma'!J18</f>
        <v>97135.249322611868</v>
      </c>
      <c r="K725" s="2606">
        <f>'Part VI-Pro Forma'!K18</f>
        <v>99077.954309064109</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3839</v>
      </c>
      <c r="B727" s="2606">
        <f>'Part VI-Pro Forma'!B20</f>
        <v>1731870.68</v>
      </c>
      <c r="C727" s="2606">
        <f>'Part VI-Pro Forma'!C20</f>
        <v>1766508.0936000003</v>
      </c>
      <c r="D727" s="2606">
        <f>'Part VI-Pro Forma'!D20</f>
        <v>1801838.2554719998</v>
      </c>
      <c r="E727" s="2606">
        <f>'Part VI-Pro Forma'!E20</f>
        <v>1837875.0205814401</v>
      </c>
      <c r="F727" s="2606">
        <f>'Part VI-Pro Forma'!F20</f>
        <v>1874632.5209930688</v>
      </c>
      <c r="G727" s="2606">
        <f>'Part VI-Pro Forma'!G20</f>
        <v>1912125.1714129304</v>
      </c>
      <c r="H727" s="2606">
        <f>'Part VI-Pro Forma'!H20</f>
        <v>1950367.6748411891</v>
      </c>
      <c r="I727" s="2606">
        <f>'Part VI-Pro Forma'!I20</f>
        <v>1989375.0283380123</v>
      </c>
      <c r="J727" s="2606">
        <f>'Part VI-Pro Forma'!J20</f>
        <v>2029162.5289047726</v>
      </c>
      <c r="K727" s="2606">
        <f>'Part VI-Pro Forma'!K20</f>
        <v>2069745.7794828683</v>
      </c>
    </row>
    <row r="728" spans="1:11">
      <c r="A728" s="357" t="s">
        <v>572</v>
      </c>
      <c r="B728" s="2606">
        <f>'Part VI-Pro Forma'!B21</f>
        <v>-797661.00793600001</v>
      </c>
      <c r="C728" s="2606">
        <f>'Part VI-Pro Forma'!C21</f>
        <v>-821590.83817408001</v>
      </c>
      <c r="D728" s="2606">
        <f>'Part VI-Pro Forma'!D21</f>
        <v>-846238.5633193024</v>
      </c>
      <c r="E728" s="2606">
        <f>'Part VI-Pro Forma'!E21</f>
        <v>-871625.7202188815</v>
      </c>
      <c r="F728" s="2606">
        <f>'Part VI-Pro Forma'!F21</f>
        <v>-897774.49182544788</v>
      </c>
      <c r="G728" s="2606">
        <f>'Part VI-Pro Forma'!G21</f>
        <v>-924707.72658021119</v>
      </c>
      <c r="H728" s="2606">
        <f>'Part VI-Pro Forma'!H21</f>
        <v>-952448.95837761764</v>
      </c>
      <c r="I728" s="2606">
        <f>'Part VI-Pro Forma'!I21</f>
        <v>-981022.42712894618</v>
      </c>
      <c r="J728" s="2606">
        <f>'Part VI-Pro Forma'!J21</f>
        <v>-1010453.0999428144</v>
      </c>
      <c r="K728" s="2606">
        <f>'Part VI-Pro Forma'!K21</f>
        <v>-1040766.6929410989</v>
      </c>
    </row>
    <row r="729" spans="1:11">
      <c r="A729" s="357" t="s">
        <v>1050</v>
      </c>
      <c r="B729" s="2606">
        <f>'Part VI-Pro Forma'!B22</f>
        <v>-60615</v>
      </c>
      <c r="C729" s="2606">
        <f>'Part VI-Pro Forma'!C22</f>
        <v>-61828</v>
      </c>
      <c r="D729" s="2606">
        <f>'Part VI-Pro Forma'!D22</f>
        <v>-63064</v>
      </c>
      <c r="E729" s="2606">
        <f>'Part VI-Pro Forma'!E22</f>
        <v>-64326</v>
      </c>
      <c r="F729" s="2606">
        <f>'Part VI-Pro Forma'!F22</f>
        <v>-65612</v>
      </c>
      <c r="G729" s="2606">
        <f>'Part VI-Pro Forma'!G22</f>
        <v>-66924</v>
      </c>
      <c r="H729" s="2606">
        <f>'Part VI-Pro Forma'!H22</f>
        <v>-68263</v>
      </c>
      <c r="I729" s="2606">
        <f>'Part VI-Pro Forma'!I22</f>
        <v>-69628</v>
      </c>
      <c r="J729" s="2606">
        <f>'Part VI-Pro Forma'!J22</f>
        <v>-71021</v>
      </c>
      <c r="K729" s="2606">
        <f>'Part VI-Pro Forma'!K22</f>
        <v>-72441</v>
      </c>
    </row>
    <row r="730" spans="1:11">
      <c r="A730" s="357" t="s">
        <v>1128</v>
      </c>
      <c r="B730" s="2606">
        <f>'Part VI-Pro Forma'!B23</f>
        <v>-56700</v>
      </c>
      <c r="C730" s="2606">
        <f>'Part VI-Pro Forma'!C23</f>
        <v>-58401</v>
      </c>
      <c r="D730" s="2606">
        <f>'Part VI-Pro Forma'!D23</f>
        <v>-60153.03</v>
      </c>
      <c r="E730" s="2606">
        <f>'Part VI-Pro Forma'!E23</f>
        <v>-61957.620900000002</v>
      </c>
      <c r="F730" s="2606">
        <f>'Part VI-Pro Forma'!F23</f>
        <v>-63816.349526999998</v>
      </c>
      <c r="G730" s="2606">
        <f>'Part VI-Pro Forma'!G23</f>
        <v>-65730.840012809989</v>
      </c>
      <c r="H730" s="2606">
        <f>'Part VI-Pro Forma'!H23</f>
        <v>-67702.765213194289</v>
      </c>
      <c r="I730" s="2606">
        <f>'Part VI-Pro Forma'!I23</f>
        <v>-69733.848169590128</v>
      </c>
      <c r="J730" s="2606">
        <f>'Part VI-Pro Forma'!J23</f>
        <v>-71825.86361467783</v>
      </c>
      <c r="K730" s="2606">
        <f>'Part VI-Pro Forma'!K23</f>
        <v>-73980.639523118167</v>
      </c>
    </row>
    <row r="731" spans="1:11">
      <c r="A731" s="357" t="s">
        <v>3838</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816894.67206399993</v>
      </c>
      <c r="C732" s="2606">
        <f t="shared" ref="C732:J732" si="377">SUM(C727:C731)</f>
        <v>824688.25542592024</v>
      </c>
      <c r="D732" s="2606">
        <f t="shared" si="377"/>
        <v>832382.66215269733</v>
      </c>
      <c r="E732" s="2606">
        <f t="shared" si="377"/>
        <v>839965.67946255859</v>
      </c>
      <c r="F732" s="2606">
        <f t="shared" si="377"/>
        <v>847429.67964062095</v>
      </c>
      <c r="G732" s="2606">
        <f t="shared" si="377"/>
        <v>854762.6048199092</v>
      </c>
      <c r="H732" s="2606">
        <f t="shared" si="377"/>
        <v>861952.95125037711</v>
      </c>
      <c r="I732" s="2606">
        <f t="shared" si="377"/>
        <v>868990.753039476</v>
      </c>
      <c r="J732" s="2606">
        <f t="shared" si="377"/>
        <v>875862.56534728035</v>
      </c>
      <c r="K732" s="2606">
        <f>SUM(K727:K731)</f>
        <v>882557.44701865118</v>
      </c>
    </row>
    <row r="733" spans="1:11">
      <c r="A733" s="357" t="s">
        <v>1486</v>
      </c>
      <c r="B733" s="2606">
        <f>'Part VI-Pro Forma'!B26</f>
        <v>-634763.60500293621</v>
      </c>
      <c r="C733" s="2606">
        <f>'Part VI-Pro Forma'!C26</f>
        <v>-634763.60500293621</v>
      </c>
      <c r="D733" s="2606">
        <f>'Part VI-Pro Forma'!D26</f>
        <v>-634763.60500293621</v>
      </c>
      <c r="E733" s="2606">
        <f>'Part VI-Pro Forma'!E26</f>
        <v>-634763.60500293621</v>
      </c>
      <c r="F733" s="2606">
        <f>'Part VI-Pro Forma'!F26</f>
        <v>-634763.60500293621</v>
      </c>
      <c r="G733" s="2606">
        <f>'Part VI-Pro Forma'!G26</f>
        <v>-634763.60500293621</v>
      </c>
      <c r="H733" s="2606">
        <f>'Part VI-Pro Forma'!H26</f>
        <v>-634763.60500293621</v>
      </c>
      <c r="I733" s="2606">
        <f>'Part VI-Pro Forma'!I26</f>
        <v>-634763.60500293621</v>
      </c>
      <c r="J733" s="2606">
        <f>'Part VI-Pro Forma'!J26</f>
        <v>-634763.60500293621</v>
      </c>
      <c r="K733" s="2606">
        <f>'Part VI-Pro Forma'!K26</f>
        <v>-634763.60500293621</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3286</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3363</v>
      </c>
      <c r="B739" s="2606">
        <f>'Part VI-Pro Forma'!B32</f>
        <v>0</v>
      </c>
      <c r="C739" s="2606">
        <f>'Part VI-Pro Forma'!C32</f>
        <v>-43974.858986531865</v>
      </c>
      <c r="D739" s="2606">
        <f>'Part VI-Pro Forma'!D32</f>
        <v>-94847.763211063633</v>
      </c>
      <c r="E739" s="2606">
        <f>'Part VI-Pro Forma'!E32</f>
        <v>-104812.31037767015</v>
      </c>
      <c r="F739" s="2606">
        <f>'Part VI-Pro Forma'!F32</f>
        <v>-109506.25902055418</v>
      </c>
      <c r="G739" s="2606">
        <f>'Part VI-Pro Forma'!G32</f>
        <v>-113991.1595463538</v>
      </c>
      <c r="H739" s="2606">
        <f>'Part VI-Pro Forma'!H32</f>
        <v>-22797.721139857254</v>
      </c>
      <c r="I739" s="2606">
        <f>'Part VI-Pro Forma'!I32</f>
        <v>-99922</v>
      </c>
      <c r="J739" s="2606">
        <f>'Part VI-Pro Forma'!J32</f>
        <v>0</v>
      </c>
      <c r="K739" s="2606">
        <f>'Part VI-Pro Forma'!K32</f>
        <v>0</v>
      </c>
    </row>
    <row r="740" spans="1:11">
      <c r="A740" s="357" t="s">
        <v>1096</v>
      </c>
      <c r="B740" s="2606">
        <f t="shared" ref="B740:K740" si="378">SUM(B732:B739)</f>
        <v>174631.06706106372</v>
      </c>
      <c r="C740" s="2606">
        <f t="shared" si="378"/>
        <v>138449.79143645219</v>
      </c>
      <c r="D740" s="2606">
        <f t="shared" si="378"/>
        <v>95271.29393869749</v>
      </c>
      <c r="E740" s="2606">
        <f t="shared" si="378"/>
        <v>92889.764081952235</v>
      </c>
      <c r="F740" s="2606">
        <f t="shared" si="378"/>
        <v>95659.81561713056</v>
      </c>
      <c r="G740" s="2606">
        <f t="shared" si="378"/>
        <v>98507.840270619199</v>
      </c>
      <c r="H740" s="2606">
        <f t="shared" si="378"/>
        <v>196891.62510758365</v>
      </c>
      <c r="I740" s="2606">
        <f t="shared" si="378"/>
        <v>126805.14803653979</v>
      </c>
      <c r="J740" s="2606">
        <f t="shared" si="378"/>
        <v>233598.96034434414</v>
      </c>
      <c r="K740" s="2606">
        <f t="shared" si="378"/>
        <v>240293.84201571497</v>
      </c>
    </row>
    <row r="741" spans="1:11">
      <c r="A741" s="357" t="str">
        <f>IF('Part II-Sources of Funds'!$E$40 = "Neither", "", "DCR Mortgage A")</f>
        <v>DCR Mortgage A</v>
      </c>
      <c r="B741" s="2607">
        <f t="shared" ref="B741:K741" si="379">IF(B733=0,"",-B732/B733)</f>
        <v>1.2869273941126811</v>
      </c>
      <c r="C741" s="2607">
        <f t="shared" si="379"/>
        <v>1.2992053245114856</v>
      </c>
      <c r="D741" s="2607">
        <f t="shared" si="379"/>
        <v>1.3113270130678758</v>
      </c>
      <c r="E741" s="2607">
        <f t="shared" si="379"/>
        <v>1.3232732198921096</v>
      </c>
      <c r="F741" s="2607">
        <f t="shared" si="379"/>
        <v>1.3350319283612693</v>
      </c>
      <c r="G741" s="2607">
        <f t="shared" si="379"/>
        <v>1.3465841426367779</v>
      </c>
      <c r="H741" s="2607">
        <f t="shared" si="379"/>
        <v>1.3579117398301215</v>
      </c>
      <c r="I741" s="2607">
        <f t="shared" si="379"/>
        <v>1.3689990197775379</v>
      </c>
      <c r="J741" s="2607">
        <f t="shared" si="379"/>
        <v>1.3798248016176493</v>
      </c>
      <c r="K741" s="2607">
        <f t="shared" si="379"/>
        <v>1.3903718487681234</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1.2869273941126811</v>
      </c>
      <c r="C745" s="2607">
        <f t="shared" si="383"/>
        <v>1.2992053245114856</v>
      </c>
      <c r="D745" s="2607">
        <f t="shared" si="383"/>
        <v>1.3113270130678758</v>
      </c>
      <c r="E745" s="2607">
        <f t="shared" si="383"/>
        <v>1.3232732198921096</v>
      </c>
      <c r="F745" s="2607">
        <f t="shared" si="383"/>
        <v>1.3350319283612693</v>
      </c>
      <c r="G745" s="2607">
        <f t="shared" si="383"/>
        <v>1.3465841426367779</v>
      </c>
      <c r="H745" s="2607">
        <f t="shared" si="383"/>
        <v>1.3579117398301215</v>
      </c>
      <c r="I745" s="2607">
        <f t="shared" si="383"/>
        <v>1.3689990197775379</v>
      </c>
      <c r="J745" s="2607">
        <f t="shared" si="383"/>
        <v>1.3798248016176493</v>
      </c>
      <c r="K745" s="2607">
        <f t="shared" si="383"/>
        <v>1.3903718487681234</v>
      </c>
    </row>
    <row r="746" spans="1:11">
      <c r="A746" s="357" t="s">
        <v>718</v>
      </c>
      <c r="B746" s="2608">
        <f t="shared" ref="B746:K746" si="384">IF(OR(B729="Choose mgt fee",B729="Choose One!"),"",(B722+B723+B724+B725+B726) / -(B728+B729+B730))</f>
        <v>1.892804472443762</v>
      </c>
      <c r="C746" s="2608">
        <f t="shared" si="384"/>
        <v>1.8756327080822119</v>
      </c>
      <c r="D746" s="2608">
        <f t="shared" si="384"/>
        <v>1.8586083446099027</v>
      </c>
      <c r="E746" s="2608">
        <f t="shared" si="384"/>
        <v>1.8417254402296381</v>
      </c>
      <c r="F746" s="2608">
        <f t="shared" si="384"/>
        <v>1.8249876709111008</v>
      </c>
      <c r="G746" s="2608">
        <f t="shared" si="384"/>
        <v>1.8083912101920545</v>
      </c>
      <c r="H746" s="2608">
        <f t="shared" si="384"/>
        <v>1.791934299093906</v>
      </c>
      <c r="I746" s="2608">
        <f t="shared" si="384"/>
        <v>1.7756184839419722</v>
      </c>
      <c r="J746" s="2608">
        <f t="shared" si="384"/>
        <v>1.7594403824011029</v>
      </c>
      <c r="K746" s="2608">
        <f t="shared" si="384"/>
        <v>1.7434013819751315</v>
      </c>
    </row>
    <row r="747" spans="1:11">
      <c r="A747" s="357" t="s">
        <v>2405</v>
      </c>
      <c r="B747" s="2606">
        <f>'Part VI-Pro Forma'!B40</f>
        <v>10881731.804998592</v>
      </c>
      <c r="C747" s="2606">
        <f>'Part VI-Pro Forma'!C40</f>
        <v>10788947.641618317</v>
      </c>
      <c r="D747" s="2606">
        <f>'Part VI-Pro Forma'!D40</f>
        <v>10691416.464346139</v>
      </c>
      <c r="E747" s="2606">
        <f>'Part VI-Pro Forma'!E40</f>
        <v>10588895.406942077</v>
      </c>
      <c r="F747" s="2606">
        <f>'Part VI-Pro Forma'!F40</f>
        <v>10481129.17766838</v>
      </c>
      <c r="G747" s="2606">
        <f>'Part VI-Pro Forma'!G40</f>
        <v>10367849.423577482</v>
      </c>
      <c r="H747" s="2606">
        <f>'Part VI-Pro Forma'!H40</f>
        <v>10248774.062275719</v>
      </c>
      <c r="I747" s="2606">
        <f>'Part VI-Pro Forma'!I40</f>
        <v>10123606.579498805</v>
      </c>
      <c r="J747" s="2606">
        <f>'Part VI-Pro Forma'!J40</f>
        <v>9992035.2907499447</v>
      </c>
      <c r="K747" s="2606">
        <f>'Part VI-Pro Forma'!K40</f>
        <v>9853732.5651619472</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3364</v>
      </c>
      <c r="B751" s="2606">
        <f>'Part VI-Pro Forma'!B44</f>
        <v>589852.13499920815</v>
      </c>
      <c r="C751" s="2606">
        <f>'Part VI-Pro Forma'!C44</f>
        <v>545877.2760126763</v>
      </c>
      <c r="D751" s="2606">
        <f>'Part VI-Pro Forma'!D44</f>
        <v>451029.51280161267</v>
      </c>
      <c r="E751" s="2606">
        <f>'Part VI-Pro Forma'!E44</f>
        <v>346217.20242394251</v>
      </c>
      <c r="F751" s="2606">
        <f>'Part VI-Pro Forma'!F44</f>
        <v>236710.94340338834</v>
      </c>
      <c r="G751" s="2606">
        <f>'Part VI-Pro Forma'!G44</f>
        <v>122719.78385703455</v>
      </c>
      <c r="H751" s="2606">
        <f>'Part VI-Pro Forma'!H44</f>
        <v>99922.062717177294</v>
      </c>
      <c r="I751" s="2606">
        <f>'Part VI-Pro Forma'!I44</f>
        <v>6.2717177293961868E-2</v>
      </c>
      <c r="J751" s="2606">
        <f>'Part VI-Pro Forma'!J44</f>
        <v>6.2717177293961868E-2</v>
      </c>
      <c r="K751" s="2606">
        <f>'Part VI-Pro Forma'!K44</f>
        <v>6.2717177293961868E-2</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2074387.1843934781</v>
      </c>
      <c r="C754" s="2606">
        <f>'Part VI-Pro Forma'!C47</f>
        <v>2115874.9280813471</v>
      </c>
      <c r="D754" s="2606">
        <f>'Part VI-Pro Forma'!D47</f>
        <v>2158192.4266429744</v>
      </c>
      <c r="E754" s="2606">
        <f>'Part VI-Pro Forma'!E47</f>
        <v>2201356.2751758341</v>
      </c>
      <c r="F754" s="2606">
        <f>'Part VI-Pro Forma'!F47</f>
        <v>2245383.4006793508</v>
      </c>
      <c r="G754" s="2606">
        <f>'Part VI-Pro Forma'!G47</f>
        <v>2290291.068692937</v>
      </c>
      <c r="H754" s="2606">
        <f>'Part VI-Pro Forma'!H47</f>
        <v>2336096.8900667964</v>
      </c>
      <c r="I754" s="2606">
        <f>'Part VI-Pro Forma'!I47</f>
        <v>2382818.8278681324</v>
      </c>
      <c r="J754" s="2606">
        <f>'Part VI-Pro Forma'!J47</f>
        <v>2430475.2044254947</v>
      </c>
      <c r="K754" s="2606">
        <f>'Part VI-Pro Forma'!K47</f>
        <v>2479084.7085140045</v>
      </c>
    </row>
    <row r="755" spans="1:11">
      <c r="A755" s="357" t="s">
        <v>952</v>
      </c>
      <c r="B755" s="2606">
        <f>'Part VI-Pro Forma'!B48</f>
        <v>41487.743687869566</v>
      </c>
      <c r="C755" s="2606">
        <f>'Part VI-Pro Forma'!C48</f>
        <v>42317.498561626948</v>
      </c>
      <c r="D755" s="2606">
        <f>'Part VI-Pro Forma'!D48</f>
        <v>43163.848532859491</v>
      </c>
      <c r="E755" s="2606">
        <f>'Part VI-Pro Forma'!E48</f>
        <v>44027.125503516676</v>
      </c>
      <c r="F755" s="2606">
        <f>'Part VI-Pro Forma'!F48</f>
        <v>44907.668013587019</v>
      </c>
      <c r="G755" s="2606">
        <f>'Part VI-Pro Forma'!G48</f>
        <v>45805.821373858744</v>
      </c>
      <c r="H755" s="2606">
        <f>'Part VI-Pro Forma'!H48</f>
        <v>46721.937801335931</v>
      </c>
      <c r="I755" s="2606">
        <f>'Part VI-Pro Forma'!I48</f>
        <v>47656.376557362652</v>
      </c>
      <c r="J755" s="2606">
        <f>'Part VI-Pro Forma'!J48</f>
        <v>48609.504088509901</v>
      </c>
      <c r="K755" s="2606">
        <f>'Part VI-Pro Forma'!K48</f>
        <v>49581.694170280098</v>
      </c>
    </row>
    <row r="756" spans="1:11">
      <c r="A756" s="357" t="s">
        <v>2216</v>
      </c>
      <c r="B756" s="2606">
        <f>'Part VI-Pro Forma'!B49</f>
        <v>-105793.74640406738</v>
      </c>
      <c r="C756" s="2606">
        <f>'Part VI-Pro Forma'!C49</f>
        <v>-107909.6213321487</v>
      </c>
      <c r="D756" s="2606">
        <f>'Part VI-Pro Forma'!D49</f>
        <v>-110067.81375879172</v>
      </c>
      <c r="E756" s="2606">
        <f>'Part VI-Pro Forma'!E49</f>
        <v>-112269.17003396754</v>
      </c>
      <c r="F756" s="2606">
        <f>'Part VI-Pro Forma'!F49</f>
        <v>-114514.55343464691</v>
      </c>
      <c r="G756" s="2606">
        <f>'Part VI-Pro Forma'!G49</f>
        <v>-116804.8445033398</v>
      </c>
      <c r="H756" s="2606">
        <f>'Part VI-Pro Forma'!H49</f>
        <v>-119140.94139340663</v>
      </c>
      <c r="I756" s="2606">
        <f>'Part VI-Pro Forma'!I49</f>
        <v>-121523.76022127476</v>
      </c>
      <c r="J756" s="2606">
        <f>'Part VI-Pro Forma'!J49</f>
        <v>-123954.23542570023</v>
      </c>
      <c r="K756" s="2606">
        <f>'Part VI-Pro Forma'!K49</f>
        <v>-126433.32013421423</v>
      </c>
    </row>
    <row r="757" spans="1:11">
      <c r="A757" s="357" t="s">
        <v>47</v>
      </c>
      <c r="B757" s="2606">
        <f>'Part VI-Pro Forma'!B50</f>
        <v>101059.51339524539</v>
      </c>
      <c r="C757" s="2606">
        <f>'Part VI-Pro Forma'!C50</f>
        <v>103080.7036631503</v>
      </c>
      <c r="D757" s="2606">
        <f>'Part VI-Pro Forma'!D50</f>
        <v>105142.3177364133</v>
      </c>
      <c r="E757" s="2606">
        <f>'Part VI-Pro Forma'!E50</f>
        <v>107245.16409114157</v>
      </c>
      <c r="F757" s="2606">
        <f>'Part VI-Pro Forma'!F50</f>
        <v>109390.0673729644</v>
      </c>
      <c r="G757" s="2606">
        <f>'Part VI-Pro Forma'!G50</f>
        <v>111577.86872042369</v>
      </c>
      <c r="H757" s="2606">
        <f>'Part VI-Pro Forma'!H50</f>
        <v>113809.42609483216</v>
      </c>
      <c r="I757" s="2606">
        <f>'Part VI-Pro Forma'!I50</f>
        <v>116085.61461672881</v>
      </c>
      <c r="J757" s="2606">
        <f>'Part VI-Pro Forma'!J50</f>
        <v>118407.32690906338</v>
      </c>
      <c r="K757" s="2606">
        <f>'Part VI-Pro Forma'!K50</f>
        <v>120775.47344724466</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3839</v>
      </c>
      <c r="B759" s="2606">
        <f>'Part VI-Pro Forma'!B52</f>
        <v>2111140.6950725256</v>
      </c>
      <c r="C759" s="2606">
        <f>'Part VI-Pro Forma'!C52</f>
        <v>2153363.5089739752</v>
      </c>
      <c r="D759" s="2606">
        <f>'Part VI-Pro Forma'!D52</f>
        <v>2196430.7791534555</v>
      </c>
      <c r="E759" s="2606">
        <f>'Part VI-Pro Forma'!E52</f>
        <v>2240359.3947365247</v>
      </c>
      <c r="F759" s="2606">
        <f>'Part VI-Pro Forma'!F52</f>
        <v>2285166.5826312555</v>
      </c>
      <c r="G759" s="2606">
        <f>'Part VI-Pro Forma'!G52</f>
        <v>2330869.91428388</v>
      </c>
      <c r="H759" s="2606">
        <f>'Part VI-Pro Forma'!H52</f>
        <v>2377487.3125695582</v>
      </c>
      <c r="I759" s="2606">
        <f>'Part VI-Pro Forma'!I52</f>
        <v>2425037.0588209494</v>
      </c>
      <c r="J759" s="2606">
        <f>'Part VI-Pro Forma'!J52</f>
        <v>2473537.7999973674</v>
      </c>
      <c r="K759" s="2606">
        <f>'Part VI-Pro Forma'!K52</f>
        <v>2523008.5559973149</v>
      </c>
    </row>
    <row r="760" spans="1:11">
      <c r="A760" s="357" t="s">
        <v>572</v>
      </c>
      <c r="B760" s="2606">
        <f>'Part VI-Pro Forma'!B53</f>
        <v>-1071989.6937293319</v>
      </c>
      <c r="C760" s="2606">
        <f>'Part VI-Pro Forma'!C53</f>
        <v>-1104149.3845412119</v>
      </c>
      <c r="D760" s="2606">
        <f>'Part VI-Pro Forma'!D53</f>
        <v>-1137273.866077448</v>
      </c>
      <c r="E760" s="2606">
        <f>'Part VI-Pro Forma'!E53</f>
        <v>-1171392.0820597715</v>
      </c>
      <c r="F760" s="2606">
        <f>'Part VI-Pro Forma'!F53</f>
        <v>-1206533.8445215647</v>
      </c>
      <c r="G760" s="2606">
        <f>'Part VI-Pro Forma'!G53</f>
        <v>-1242729.8598572118</v>
      </c>
      <c r="H760" s="2606">
        <f>'Part VI-Pro Forma'!H53</f>
        <v>-1280011.755652928</v>
      </c>
      <c r="I760" s="2606">
        <f>'Part VI-Pro Forma'!I53</f>
        <v>-1318412.1083225159</v>
      </c>
      <c r="J760" s="2606">
        <f>'Part VI-Pro Forma'!J53</f>
        <v>-1357964.4715721912</v>
      </c>
      <c r="K760" s="2606">
        <f>'Part VI-Pro Forma'!K53</f>
        <v>-1398703.4057193568</v>
      </c>
    </row>
    <row r="761" spans="1:11">
      <c r="A761" s="357" t="s">
        <v>1050</v>
      </c>
      <c r="B761" s="2606">
        <f>'Part VI-Pro Forma'!B54</f>
        <v>-73890</v>
      </c>
      <c r="C761" s="2606">
        <f>'Part VI-Pro Forma'!C54</f>
        <v>-75368</v>
      </c>
      <c r="D761" s="2606">
        <f>'Part VI-Pro Forma'!D54</f>
        <v>-76875</v>
      </c>
      <c r="E761" s="2606">
        <f>'Part VI-Pro Forma'!E54</f>
        <v>-78413</v>
      </c>
      <c r="F761" s="2606">
        <f>'Part VI-Pro Forma'!F54</f>
        <v>-79981</v>
      </c>
      <c r="G761" s="2606">
        <f>'Part VI-Pro Forma'!G54</f>
        <v>-81580</v>
      </c>
      <c r="H761" s="2606">
        <f>'Part VI-Pro Forma'!H54</f>
        <v>-83212</v>
      </c>
      <c r="I761" s="2606">
        <f>'Part VI-Pro Forma'!I54</f>
        <v>-84876</v>
      </c>
      <c r="J761" s="2606">
        <f>'Part VI-Pro Forma'!J54</f>
        <v>-86574</v>
      </c>
      <c r="K761" s="2606">
        <f>'Part VI-Pro Forma'!K54</f>
        <v>-88305</v>
      </c>
    </row>
    <row r="762" spans="1:11">
      <c r="A762" s="357" t="s">
        <v>1128</v>
      </c>
      <c r="B762" s="2606">
        <f>'Part VI-Pro Forma'!B55</f>
        <v>-76200.058708811703</v>
      </c>
      <c r="C762" s="2606">
        <f>'Part VI-Pro Forma'!C55</f>
        <v>-78486.06047007606</v>
      </c>
      <c r="D762" s="2606">
        <f>'Part VI-Pro Forma'!D55</f>
        <v>-80840.642284178335</v>
      </c>
      <c r="E762" s="2606">
        <f>'Part VI-Pro Forma'!E55</f>
        <v>-83265.861552703675</v>
      </c>
      <c r="F762" s="2606">
        <f>'Part VI-Pro Forma'!F55</f>
        <v>-85763.837399284792</v>
      </c>
      <c r="G762" s="2606">
        <f>'Part VI-Pro Forma'!G55</f>
        <v>-88336.752521263348</v>
      </c>
      <c r="H762" s="2606">
        <f>'Part VI-Pro Forma'!H55</f>
        <v>-90986.855096901229</v>
      </c>
      <c r="I762" s="2606">
        <f>'Part VI-Pro Forma'!I55</f>
        <v>-93716.460749808262</v>
      </c>
      <c r="J762" s="2606">
        <f>'Part VI-Pro Forma'!J55</f>
        <v>-96527.954572302508</v>
      </c>
      <c r="K762" s="2606">
        <f>'Part VI-Pro Forma'!K55</f>
        <v>-99423.79320947158</v>
      </c>
    </row>
    <row r="763" spans="1:11">
      <c r="A763" s="357" t="s">
        <v>3838</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889060.94263438205</v>
      </c>
      <c r="C764" s="2606">
        <f t="shared" si="386"/>
        <v>895360.06396268727</v>
      </c>
      <c r="D764" s="2606">
        <f t="shared" si="386"/>
        <v>901441.27079182921</v>
      </c>
      <c r="E764" s="2606">
        <f t="shared" si="386"/>
        <v>907288.45112404949</v>
      </c>
      <c r="F764" s="2606">
        <f t="shared" si="386"/>
        <v>912887.90071040601</v>
      </c>
      <c r="G764" s="2606">
        <f t="shared" si="386"/>
        <v>918223.30190540489</v>
      </c>
      <c r="H764" s="2606">
        <f t="shared" si="386"/>
        <v>923276.70181972894</v>
      </c>
      <c r="I764" s="2606">
        <f t="shared" si="386"/>
        <v>928032.48974862532</v>
      </c>
      <c r="J764" s="2606">
        <f t="shared" si="386"/>
        <v>932471.37385287369</v>
      </c>
      <c r="K764" s="2606">
        <f t="shared" si="386"/>
        <v>936576.3570684864</v>
      </c>
    </row>
    <row r="765" spans="1:11">
      <c r="A765" s="357" t="str">
        <f>$A733</f>
        <v>Mortgage A</v>
      </c>
      <c r="B765" s="2606">
        <f>'Part VI-Pro Forma'!B58</f>
        <v>-634763.60500293621</v>
      </c>
      <c r="C765" s="2606">
        <f>'Part VI-Pro Forma'!C58</f>
        <v>-634763.60500293621</v>
      </c>
      <c r="D765" s="2606">
        <f>'Part VI-Pro Forma'!D58</f>
        <v>-634763.60500293621</v>
      </c>
      <c r="E765" s="2606">
        <f>'Part VI-Pro Forma'!E58</f>
        <v>-634763.60500293621</v>
      </c>
      <c r="F765" s="2606">
        <f>'Part VI-Pro Forma'!F58</f>
        <v>-634763.60500293621</v>
      </c>
      <c r="G765" s="2606">
        <f>'Part VI-Pro Forma'!G58</f>
        <v>-634763.60500293621</v>
      </c>
      <c r="H765" s="2606">
        <f>'Part VI-Pro Forma'!H58</f>
        <v>-634763.60500293621</v>
      </c>
      <c r="I765" s="2606">
        <f>'Part VI-Pro Forma'!I58</f>
        <v>-634763.60500293621</v>
      </c>
      <c r="J765" s="2606">
        <f>'Part VI-Pro Forma'!J58</f>
        <v>-634763.60500293621</v>
      </c>
      <c r="K765" s="2606">
        <f>'Part VI-Pro Forma'!K58</f>
        <v>-634763.60500293621</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3363</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246797.33763144584</v>
      </c>
      <c r="C772" s="2606">
        <f t="shared" si="387"/>
        <v>253096.45895975106</v>
      </c>
      <c r="D772" s="2606">
        <f t="shared" si="387"/>
        <v>259177.66578889301</v>
      </c>
      <c r="E772" s="2606">
        <f t="shared" si="387"/>
        <v>265024.84612111328</v>
      </c>
      <c r="F772" s="2606">
        <f t="shared" si="387"/>
        <v>270624.29570746981</v>
      </c>
      <c r="G772" s="2606">
        <f t="shared" si="387"/>
        <v>275959.69690246868</v>
      </c>
      <c r="H772" s="2606">
        <f t="shared" si="387"/>
        <v>281013.09681679273</v>
      </c>
      <c r="I772" s="2606">
        <f t="shared" si="387"/>
        <v>285768.88474568911</v>
      </c>
      <c r="J772" s="2606">
        <f t="shared" si="387"/>
        <v>290207.76884993748</v>
      </c>
      <c r="K772" s="2606">
        <f t="shared" si="387"/>
        <v>294312.75206555019</v>
      </c>
    </row>
    <row r="773" spans="1:11">
      <c r="A773" s="357" t="str">
        <f>$A741</f>
        <v>DCR Mortgage A</v>
      </c>
      <c r="B773" s="2607">
        <f t="shared" ref="B773:K773" si="388">IF(B765=0,"",-B764/B765)</f>
        <v>1.4006173883114637</v>
      </c>
      <c r="C773" s="2607">
        <f t="shared" si="388"/>
        <v>1.4105409587220201</v>
      </c>
      <c r="D773" s="2607">
        <f t="shared" si="388"/>
        <v>1.4201212288906504</v>
      </c>
      <c r="E773" s="2607">
        <f t="shared" si="388"/>
        <v>1.4293328161431886</v>
      </c>
      <c r="F773" s="2607">
        <f t="shared" si="388"/>
        <v>1.4381541309479822</v>
      </c>
      <c r="G773" s="2607">
        <f t="shared" si="388"/>
        <v>1.4465594666555552</v>
      </c>
      <c r="H773" s="2607">
        <f t="shared" si="388"/>
        <v>1.4545205404702719</v>
      </c>
      <c r="I773" s="2607">
        <f t="shared" si="388"/>
        <v>1.4620127594497681</v>
      </c>
      <c r="J773" s="2607">
        <f t="shared" si="388"/>
        <v>1.4690057314306173</v>
      </c>
      <c r="K773" s="2607">
        <f t="shared" si="388"/>
        <v>1.475472679414495</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1.4006173883114637</v>
      </c>
      <c r="C777" s="2607">
        <f t="shared" si="392"/>
        <v>1.4105409587220201</v>
      </c>
      <c r="D777" s="2607">
        <f t="shared" si="392"/>
        <v>1.4201212288906504</v>
      </c>
      <c r="E777" s="2607">
        <f t="shared" si="392"/>
        <v>1.4293328161431886</v>
      </c>
      <c r="F777" s="2607">
        <f t="shared" si="392"/>
        <v>1.4381541309479822</v>
      </c>
      <c r="G777" s="2607">
        <f t="shared" si="392"/>
        <v>1.4465594666555552</v>
      </c>
      <c r="H777" s="2607">
        <f t="shared" si="392"/>
        <v>1.4545205404702719</v>
      </c>
      <c r="I777" s="2607">
        <f t="shared" si="392"/>
        <v>1.4620127594497681</v>
      </c>
      <c r="J777" s="2607">
        <f t="shared" si="392"/>
        <v>1.4690057314306173</v>
      </c>
      <c r="K777" s="2607">
        <f t="shared" si="392"/>
        <v>1.475472679414495</v>
      </c>
    </row>
    <row r="778" spans="1:11">
      <c r="A778" s="357" t="s">
        <v>718</v>
      </c>
      <c r="B778" s="2608">
        <f t="shared" ref="B778:K778" si="393">IF(OR(B761="Choose mgt fee",B761="Choose One!"),"",(B754+B755+B756+B757+B758) / -(B760+B761+B762))</f>
        <v>1.7274983002219264</v>
      </c>
      <c r="C778" s="2608">
        <f t="shared" si="393"/>
        <v>1.7117310111616215</v>
      </c>
      <c r="D778" s="2608">
        <f t="shared" si="393"/>
        <v>1.6960992849527405</v>
      </c>
      <c r="E778" s="2608">
        <f t="shared" si="393"/>
        <v>1.6806002752302123</v>
      </c>
      <c r="F778" s="2608">
        <f t="shared" si="393"/>
        <v>1.665235066854343</v>
      </c>
      <c r="G778" s="2608">
        <f t="shared" si="393"/>
        <v>1.6500021264054079</v>
      </c>
      <c r="H778" s="2608">
        <f t="shared" si="393"/>
        <v>1.6348988894694305</v>
      </c>
      <c r="I778" s="2608">
        <f t="shared" si="393"/>
        <v>1.6199262907552219</v>
      </c>
      <c r="J778" s="2608">
        <f t="shared" si="393"/>
        <v>1.60508188228185</v>
      </c>
      <c r="K778" s="2608">
        <f t="shared" si="393"/>
        <v>1.5903664573253558</v>
      </c>
    </row>
    <row r="779" spans="1:11">
      <c r="A779" s="357" t="s">
        <v>2405</v>
      </c>
      <c r="B779" s="2606">
        <f>'Part VI-Pro Forma'!B72</f>
        <v>9708354.0096506514</v>
      </c>
      <c r="C779" s="2606">
        <f>'Part VI-Pro Forma'!C72</f>
        <v>9555537.6113280915</v>
      </c>
      <c r="D779" s="2606">
        <f>'Part VI-Pro Forma'!D72</f>
        <v>9394902.8360398989</v>
      </c>
      <c r="E779" s="2606">
        <f>'Part VI-Pro Forma'!E72</f>
        <v>9226049.6807821561</v>
      </c>
      <c r="F779" s="2606">
        <f>'Part VI-Pro Forma'!F72</f>
        <v>9048557.6776381079</v>
      </c>
      <c r="G779" s="2606">
        <f>'Part VI-Pro Forma'!G72</f>
        <v>8861984.8467543796</v>
      </c>
      <c r="H779" s="2606">
        <f>'Part VI-Pro Forma'!H72</f>
        <v>8665866.5957494732</v>
      </c>
      <c r="I779" s="2606">
        <f>'Part VI-Pro Forma'!I72</f>
        <v>8459714.5628139097</v>
      </c>
      <c r="J779" s="2606">
        <f>'Part VI-Pro Forma'!J72</f>
        <v>8243015.4006211841</v>
      </c>
      <c r="K779" s="2606">
        <f>'Part VI-Pro Forma'!K72</f>
        <v>8015229.4980212962</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3364</v>
      </c>
      <c r="B783" s="2606">
        <f>'Part VI-Pro Forma'!B76</f>
        <v>6.2717177293961868E-2</v>
      </c>
      <c r="C783" s="2606">
        <f>'Part VI-Pro Forma'!C76</f>
        <v>6.2717177293961868E-2</v>
      </c>
      <c r="D783" s="2606">
        <f>'Part VI-Pro Forma'!D76</f>
        <v>6.2717177293961868E-2</v>
      </c>
      <c r="E783" s="2606">
        <f>'Part VI-Pro Forma'!E76</f>
        <v>6.2717177293961868E-2</v>
      </c>
      <c r="F783" s="2606">
        <f>'Part VI-Pro Forma'!F76</f>
        <v>6.2717177293961868E-2</v>
      </c>
      <c r="G783" s="2606">
        <f>'Part VI-Pro Forma'!G76</f>
        <v>6.2717177293961868E-2</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2528666.4026842848</v>
      </c>
      <c r="C786" s="2606">
        <f>'Part VI-Pro Forma'!C79</f>
        <v>2579239.7307379707</v>
      </c>
      <c r="D786" s="2606">
        <f>'Part VI-Pro Forma'!D79</f>
        <v>2630824.52535273</v>
      </c>
      <c r="E786" s="2606">
        <f>'Part VI-Pro Forma'!E79</f>
        <v>2683441.0158597841</v>
      </c>
      <c r="F786" s="2606">
        <f>'Part VI-Pro Forma'!F79</f>
        <v>2737109.8361769798</v>
      </c>
      <c r="G786" s="2606">
        <f>'Part VI-Pro Forma'!G79</f>
        <v>2791852.0329005197</v>
      </c>
      <c r="H786" s="2606">
        <f>'Part VI-Pro Forma'!H79</f>
        <v>2847689.0735585303</v>
      </c>
      <c r="I786" s="2606">
        <f>'Part VI-Pro Forma'!I79</f>
        <v>2904642.8550297003</v>
      </c>
      <c r="J786" s="2606">
        <f>'Part VI-Pro Forma'!J79</f>
        <v>2962735.7121302951</v>
      </c>
      <c r="K786" s="2606">
        <f>'Part VI-Pro Forma'!K79</f>
        <v>3021990.4263729006</v>
      </c>
    </row>
    <row r="787" spans="1:11">
      <c r="A787" s="357" t="s">
        <v>952</v>
      </c>
      <c r="B787" s="2606">
        <f>'Part VI-Pro Forma'!B80</f>
        <v>50573.328053685698</v>
      </c>
      <c r="C787" s="2606">
        <f>'Part VI-Pro Forma'!C80</f>
        <v>51584.794614759412</v>
      </c>
      <c r="D787" s="2606">
        <f>'Part VI-Pro Forma'!D80</f>
        <v>52616.490507054601</v>
      </c>
      <c r="E787" s="2606">
        <f>'Part VI-Pro Forma'!E80</f>
        <v>53668.820317195685</v>
      </c>
      <c r="F787" s="2606">
        <f>'Part VI-Pro Forma'!F80</f>
        <v>54742.1967235396</v>
      </c>
      <c r="G787" s="2606">
        <f>'Part VI-Pro Forma'!G80</f>
        <v>55837.040658010395</v>
      </c>
      <c r="H787" s="2606">
        <f>'Part VI-Pro Forma'!H80</f>
        <v>56953.781471170609</v>
      </c>
      <c r="I787" s="2606">
        <f>'Part VI-Pro Forma'!I80</f>
        <v>58092.85710059401</v>
      </c>
      <c r="J787" s="2606">
        <f>'Part VI-Pro Forma'!J80</f>
        <v>59254.7142426059</v>
      </c>
      <c r="K787" s="2606">
        <f>'Part VI-Pro Forma'!K80</f>
        <v>60439.808527458008</v>
      </c>
    </row>
    <row r="788" spans="1:11">
      <c r="A788" s="357" t="s">
        <v>2216</v>
      </c>
      <c r="B788" s="2606">
        <f>'Part VI-Pro Forma'!B81</f>
        <v>-128961.98653689853</v>
      </c>
      <c r="C788" s="2606">
        <f>'Part VI-Pro Forma'!C81</f>
        <v>-131541.22626763649</v>
      </c>
      <c r="D788" s="2606">
        <f>'Part VI-Pro Forma'!D81</f>
        <v>-134172.05079298923</v>
      </c>
      <c r="E788" s="2606">
        <f>'Part VI-Pro Forma'!E81</f>
        <v>-136855.49180884901</v>
      </c>
      <c r="F788" s="2606">
        <f>'Part VI-Pro Forma'!F81</f>
        <v>-139592.60164502598</v>
      </c>
      <c r="G788" s="2606">
        <f>'Part VI-Pro Forma'!G81</f>
        <v>-142384.4536779265</v>
      </c>
      <c r="H788" s="2606">
        <f>'Part VI-Pro Forma'!H81</f>
        <v>-145232.14275148505</v>
      </c>
      <c r="I788" s="2606">
        <f>'Part VI-Pro Forma'!I81</f>
        <v>-148136.78560651472</v>
      </c>
      <c r="J788" s="2606">
        <f>'Part VI-Pro Forma'!J81</f>
        <v>-151099.52131864507</v>
      </c>
      <c r="K788" s="2606">
        <f>'Part VI-Pro Forma'!K81</f>
        <v>-154121.51174501792</v>
      </c>
    </row>
    <row r="789" spans="1:11">
      <c r="A789" s="357" t="s">
        <v>47</v>
      </c>
      <c r="B789" s="2606">
        <f>'Part VI-Pro Forma'!B82</f>
        <v>123190.98291618955</v>
      </c>
      <c r="C789" s="2606">
        <f>'Part VI-Pro Forma'!C82</f>
        <v>125654.80257451333</v>
      </c>
      <c r="D789" s="2606">
        <f>'Part VI-Pro Forma'!D82</f>
        <v>128167.8986260036</v>
      </c>
      <c r="E789" s="2606">
        <f>'Part VI-Pro Forma'!E82</f>
        <v>130731.25659852367</v>
      </c>
      <c r="F789" s="2606">
        <f>'Part VI-Pro Forma'!F82</f>
        <v>133345.88173049415</v>
      </c>
      <c r="G789" s="2606">
        <f>'Part VI-Pro Forma'!G82</f>
        <v>136012.79936510403</v>
      </c>
      <c r="H789" s="2606">
        <f>'Part VI-Pro Forma'!H82</f>
        <v>138733.05535240611</v>
      </c>
      <c r="I789" s="2606">
        <f>'Part VI-Pro Forma'!I82</f>
        <v>141507.71645945424</v>
      </c>
      <c r="J789" s="2606">
        <f>'Part VI-Pro Forma'!J82</f>
        <v>144337.87078864334</v>
      </c>
      <c r="K789" s="2606">
        <f>'Part VI-Pro Forma'!K82</f>
        <v>147224.62820441622</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3839</v>
      </c>
      <c r="B791" s="2606">
        <f>'Part VI-Pro Forma'!B84</f>
        <v>2573468.7271172614</v>
      </c>
      <c r="C791" s="2606">
        <f>'Part VI-Pro Forma'!C84</f>
        <v>2624938.1016596071</v>
      </c>
      <c r="D791" s="2606">
        <f>'Part VI-Pro Forma'!D84</f>
        <v>2677436.8636927987</v>
      </c>
      <c r="E791" s="2606">
        <f>'Part VI-Pro Forma'!E84</f>
        <v>2730985.6009666547</v>
      </c>
      <c r="F791" s="2606">
        <f>'Part VI-Pro Forma'!F84</f>
        <v>2785605.3129859874</v>
      </c>
      <c r="G791" s="2606">
        <f>'Part VI-Pro Forma'!G84</f>
        <v>2841317.4192457073</v>
      </c>
      <c r="H791" s="2606">
        <f>'Part VI-Pro Forma'!H84</f>
        <v>2898143.7676306218</v>
      </c>
      <c r="I791" s="2606">
        <f>'Part VI-Pro Forma'!I84</f>
        <v>2956106.6429832336</v>
      </c>
      <c r="J791" s="2606">
        <f>'Part VI-Pro Forma'!J84</f>
        <v>3015228.775842899</v>
      </c>
      <c r="K791" s="2606">
        <f>'Part VI-Pro Forma'!K84</f>
        <v>3075533.3513597567</v>
      </c>
    </row>
    <row r="792" spans="1:11">
      <c r="A792" s="357" t="s">
        <v>572</v>
      </c>
      <c r="B792" s="2606">
        <f>'Part VI-Pro Forma'!B85</f>
        <v>-1440664.5078909376</v>
      </c>
      <c r="C792" s="2606">
        <f>'Part VI-Pro Forma'!C85</f>
        <v>-1483884.4431276657</v>
      </c>
      <c r="D792" s="2606">
        <f>'Part VI-Pro Forma'!D85</f>
        <v>-1528400.9764214957</v>
      </c>
      <c r="E792" s="2606">
        <f>'Part VI-Pro Forma'!E85</f>
        <v>-1574253.0057141406</v>
      </c>
      <c r="F792" s="2606">
        <f>'Part VI-Pro Forma'!F85</f>
        <v>-1621480.5958855646</v>
      </c>
      <c r="G792" s="2606">
        <f>'Part VI-Pro Forma'!G85</f>
        <v>-1670125.0137621316</v>
      </c>
      <c r="H792" s="2606">
        <f>'Part VI-Pro Forma'!H85</f>
        <v>-1720228.7641749957</v>
      </c>
      <c r="I792" s="2606">
        <f>'Part VI-Pro Forma'!I85</f>
        <v>-1771835.6271002453</v>
      </c>
      <c r="J792" s="2606">
        <f>'Part VI-Pro Forma'!J85</f>
        <v>-1824990.6959132527</v>
      </c>
      <c r="K792" s="2606">
        <f>'Part VI-Pro Forma'!K85</f>
        <v>-1879740.4167906502</v>
      </c>
    </row>
    <row r="793" spans="1:11">
      <c r="A793" s="357" t="s">
        <v>1050</v>
      </c>
      <c r="B793" s="2606">
        <f>'Part VI-Pro Forma'!B86</f>
        <v>-90071</v>
      </c>
      <c r="C793" s="2606">
        <f>'Part VI-Pro Forma'!C86</f>
        <v>-91873</v>
      </c>
      <c r="D793" s="2606">
        <f>'Part VI-Pro Forma'!D86</f>
        <v>-93710</v>
      </c>
      <c r="E793" s="2606">
        <f>'Part VI-Pro Forma'!E86</f>
        <v>-95584</v>
      </c>
      <c r="F793" s="2606">
        <f>'Part VI-Pro Forma'!F86</f>
        <v>-97496</v>
      </c>
      <c r="G793" s="2606">
        <f>'Part VI-Pro Forma'!G86</f>
        <v>-99446</v>
      </c>
      <c r="H793" s="2606">
        <f>'Part VI-Pro Forma'!H86</f>
        <v>-101435</v>
      </c>
      <c r="I793" s="2606">
        <f>'Part VI-Pro Forma'!I86</f>
        <v>-103464</v>
      </c>
      <c r="J793" s="2606">
        <f>'Part VI-Pro Forma'!J86</f>
        <v>-105533</v>
      </c>
      <c r="K793" s="2606">
        <f>'Part VI-Pro Forma'!K86</f>
        <v>-107644</v>
      </c>
    </row>
    <row r="794" spans="1:11">
      <c r="A794" s="357" t="s">
        <v>1128</v>
      </c>
      <c r="B794" s="2606">
        <f>'Part VI-Pro Forma'!B87</f>
        <v>-102406.50700575573</v>
      </c>
      <c r="C794" s="2606">
        <f>'Part VI-Pro Forma'!C87</f>
        <v>-105478.7022159284</v>
      </c>
      <c r="D794" s="2606">
        <f>'Part VI-Pro Forma'!D87</f>
        <v>-108643.06328240625</v>
      </c>
      <c r="E794" s="2606">
        <f>'Part VI-Pro Forma'!E87</f>
        <v>-111902.35518087844</v>
      </c>
      <c r="F794" s="2606">
        <f>'Part VI-Pro Forma'!F87</f>
        <v>-115259.42583630478</v>
      </c>
      <c r="G794" s="2606">
        <f>'Part VI-Pro Forma'!G87</f>
        <v>-118717.20861139393</v>
      </c>
      <c r="H794" s="2606">
        <f>'Part VI-Pro Forma'!H87</f>
        <v>-122278.72486973576</v>
      </c>
      <c r="I794" s="2606">
        <f>'Part VI-Pro Forma'!I87</f>
        <v>-125947.08661582782</v>
      </c>
      <c r="J794" s="2606">
        <f>'Part VI-Pro Forma'!J87</f>
        <v>-129725.49921430265</v>
      </c>
      <c r="K794" s="2606">
        <f>'Part VI-Pro Forma'!K87</f>
        <v>-133617.26419073172</v>
      </c>
    </row>
    <row r="795" spans="1:11">
      <c r="A795" s="357" t="s">
        <v>3838</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940326.71222056798</v>
      </c>
      <c r="C796" s="2606">
        <f t="shared" si="395"/>
        <v>943701.95631601312</v>
      </c>
      <c r="D796" s="2606">
        <f t="shared" si="395"/>
        <v>946682.82398889679</v>
      </c>
      <c r="E796" s="2606">
        <f t="shared" si="395"/>
        <v>949246.24007163569</v>
      </c>
      <c r="F796" s="2606">
        <f t="shared" si="395"/>
        <v>951369.29126411804</v>
      </c>
      <c r="G796" s="2606">
        <f t="shared" si="395"/>
        <v>953029.19687218184</v>
      </c>
      <c r="H796" s="2606">
        <f t="shared" si="395"/>
        <v>954201.27858589031</v>
      </c>
      <c r="I796" s="2606">
        <f t="shared" si="395"/>
        <v>954859.92926716036</v>
      </c>
      <c r="J796" s="2606">
        <f t="shared" si="395"/>
        <v>954979.58071534371</v>
      </c>
      <c r="K796" s="2606">
        <f t="shared" si="395"/>
        <v>954531.67037837475</v>
      </c>
    </row>
    <row r="797" spans="1:11">
      <c r="A797" s="357" t="str">
        <f>$A765</f>
        <v>Mortgage A</v>
      </c>
      <c r="B797" s="2606">
        <f>'Part VI-Pro Forma'!B90</f>
        <v>-634763.60500293621</v>
      </c>
      <c r="C797" s="2606">
        <f>'Part VI-Pro Forma'!C90</f>
        <v>-634763.60500293621</v>
      </c>
      <c r="D797" s="2606">
        <f>'Part VI-Pro Forma'!D90</f>
        <v>-634763.60500293621</v>
      </c>
      <c r="E797" s="2606">
        <f>'Part VI-Pro Forma'!E90</f>
        <v>-634763.60500293621</v>
      </c>
      <c r="F797" s="2606">
        <f>'Part VI-Pro Forma'!F90</f>
        <v>-634763.60500293621</v>
      </c>
      <c r="G797" s="2606">
        <f>'Part VI-Pro Forma'!G90</f>
        <v>-634763.60500293621</v>
      </c>
      <c r="H797" s="2606">
        <f>'Part VI-Pro Forma'!H90</f>
        <v>-634763.60500293621</v>
      </c>
      <c r="I797" s="2606">
        <f>'Part VI-Pro Forma'!I90</f>
        <v>-634763.60500293621</v>
      </c>
      <c r="J797" s="2606">
        <f>'Part VI-Pro Forma'!J90</f>
        <v>-634763.60500293621</v>
      </c>
      <c r="K797" s="2606">
        <f>'Part VI-Pro Forma'!K90</f>
        <v>-634763.60500293621</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298063.10721763177</v>
      </c>
      <c r="C803" s="2606">
        <f t="shared" si="396"/>
        <v>301438.35131307691</v>
      </c>
      <c r="D803" s="2606">
        <f t="shared" si="396"/>
        <v>304419.21898596059</v>
      </c>
      <c r="E803" s="2606">
        <f t="shared" si="396"/>
        <v>306982.63506869948</v>
      </c>
      <c r="F803" s="2606">
        <f t="shared" si="396"/>
        <v>309105.68626118184</v>
      </c>
      <c r="G803" s="2606">
        <f t="shared" si="396"/>
        <v>310765.59186924563</v>
      </c>
      <c r="H803" s="2606">
        <f t="shared" si="396"/>
        <v>311937.6735829541</v>
      </c>
      <c r="I803" s="2606">
        <f t="shared" si="396"/>
        <v>312596.32426422415</v>
      </c>
      <c r="J803" s="2606">
        <f t="shared" si="396"/>
        <v>312715.9757124075</v>
      </c>
      <c r="K803" s="2606">
        <f t="shared" si="396"/>
        <v>312268.06537543854</v>
      </c>
    </row>
    <row r="804" spans="1:11">
      <c r="A804" s="357" t="str">
        <f>$A773</f>
        <v>DCR Mortgage A</v>
      </c>
      <c r="B804" s="2607">
        <f t="shared" ref="B804:K804" si="397">IF(B797=0,"",-B796/B797)</f>
        <v>1.4813809500250386</v>
      </c>
      <c r="C804" s="2607">
        <f t="shared" si="397"/>
        <v>1.4866982745673452</v>
      </c>
      <c r="D804" s="2607">
        <f t="shared" si="397"/>
        <v>1.4913943025837433</v>
      </c>
      <c r="E804" s="2607">
        <f t="shared" si="397"/>
        <v>1.4954326816945418</v>
      </c>
      <c r="F804" s="2607">
        <f t="shared" si="397"/>
        <v>1.4987773145243848</v>
      </c>
      <c r="G804" s="2607">
        <f t="shared" si="397"/>
        <v>1.501392312603955</v>
      </c>
      <c r="H804" s="2607">
        <f t="shared" si="397"/>
        <v>1.5032387979797242</v>
      </c>
      <c r="I804" s="2607">
        <f t="shared" si="397"/>
        <v>1.5042764294319355</v>
      </c>
      <c r="J804" s="2607">
        <f t="shared" si="397"/>
        <v>1.5044649270824628</v>
      </c>
      <c r="K804" s="2607">
        <f t="shared" si="397"/>
        <v>1.5037592937830129</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1.4813809500250386</v>
      </c>
      <c r="C808" s="2607">
        <f t="shared" si="401"/>
        <v>1.4866982745673452</v>
      </c>
      <c r="D808" s="2607">
        <f t="shared" si="401"/>
        <v>1.4913943025837433</v>
      </c>
      <c r="E808" s="2607">
        <f t="shared" si="401"/>
        <v>1.4954326816945418</v>
      </c>
      <c r="F808" s="2607">
        <f t="shared" si="401"/>
        <v>1.4987773145243848</v>
      </c>
      <c r="G808" s="2607">
        <f t="shared" si="401"/>
        <v>1.501392312603955</v>
      </c>
      <c r="H808" s="2607">
        <f t="shared" si="401"/>
        <v>1.5032387979797242</v>
      </c>
      <c r="I808" s="2607">
        <f t="shared" si="401"/>
        <v>1.5042764294319355</v>
      </c>
      <c r="J808" s="2607">
        <f t="shared" si="401"/>
        <v>1.5044649270824628</v>
      </c>
      <c r="K808" s="2607">
        <f t="shared" si="401"/>
        <v>1.5037592937830129</v>
      </c>
    </row>
    <row r="809" spans="1:11">
      <c r="A809" s="357" t="s">
        <v>718</v>
      </c>
      <c r="B809" s="2608">
        <f>IF(OR(B793="Choose mgt fee",B793="Choose One!"),"",(B786+B787+B788+B789+B790) / -(B792+B793+B794))</f>
        <v>1.5757776749623635</v>
      </c>
      <c r="C809" s="2608">
        <f t="shared" ref="C809:K809" si="402">IF(OR(C793="Choose mgt fee",C793="Choose One!"),"",(C786+C787+C788+C789+C790) / -(C792+C793+C794))</f>
        <v>1.5613143394101541</v>
      </c>
      <c r="D809" s="2608">
        <f t="shared" si="402"/>
        <v>1.5469770991554963</v>
      </c>
      <c r="E809" s="2608">
        <f t="shared" si="402"/>
        <v>1.5327638042383493</v>
      </c>
      <c r="F809" s="2608">
        <f t="shared" si="402"/>
        <v>1.5186733222974382</v>
      </c>
      <c r="G809" s="2608">
        <f t="shared" si="402"/>
        <v>1.5047053651980367</v>
      </c>
      <c r="H809" s="2608">
        <f t="shared" si="402"/>
        <v>1.4908588005886905</v>
      </c>
      <c r="I809" s="2608">
        <f t="shared" si="402"/>
        <v>1.477132540792085</v>
      </c>
      <c r="J809" s="2608">
        <f t="shared" si="402"/>
        <v>1.4635262486566429</v>
      </c>
      <c r="K809" s="2608">
        <f t="shared" si="402"/>
        <v>1.4500381489262733</v>
      </c>
    </row>
    <row r="810" spans="1:11">
      <c r="A810" s="357" t="s">
        <v>2405</v>
      </c>
      <c r="B810" s="2606">
        <f>'Part VI-Pro Forma'!B103</f>
        <v>7775789.6363336956</v>
      </c>
      <c r="C810" s="2606">
        <f>'Part VI-Pro Forma'!C103</f>
        <v>7524099.5768936174</v>
      </c>
      <c r="D810" s="2606">
        <f>'Part VI-Pro Forma'!D103</f>
        <v>7259532.576334618</v>
      </c>
      <c r="E810" s="2606">
        <f>'Part VI-Pro Forma'!E103</f>
        <v>6981429.8259101426</v>
      </c>
      <c r="F810" s="2606">
        <f>'Part VI-Pro Forma'!F103</f>
        <v>6689098.8109678207</v>
      </c>
      <c r="G810" s="2606">
        <f>'Part VI-Pro Forma'!G103</f>
        <v>6381811.5864913566</v>
      </c>
      <c r="H810" s="2606">
        <f>'Part VI-Pro Forma'!H103</f>
        <v>6058802.964415866</v>
      </c>
      <c r="I810" s="2606">
        <f>'Part VI-Pro Forma'!I103</f>
        <v>5719268.60820283</v>
      </c>
      <c r="J810" s="2606">
        <f>'Part VI-Pro Forma'!J103</f>
        <v>5362363.0299298828</v>
      </c>
      <c r="K810" s="2606">
        <f>'Part VI-Pro Forma'!K103</f>
        <v>4987197.484907914</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3082430.2349003586</v>
      </c>
      <c r="C816" s="2606">
        <f>'Part VI-Pro Forma'!C109</f>
        <v>3144078.8395983651</v>
      </c>
      <c r="D816" s="2606">
        <f>'Part VI-Pro Forma'!D109</f>
        <v>3206960.4163903329</v>
      </c>
      <c r="E816" s="2606">
        <f>'Part VI-Pro Forma'!E109</f>
        <v>3271099.6247181399</v>
      </c>
      <c r="F816" s="2606">
        <f>'Part VI-Pro Forma'!F109</f>
        <v>3336521.6172125023</v>
      </c>
      <c r="G816" s="2606"/>
      <c r="H816" s="2606"/>
      <c r="I816" s="2606"/>
      <c r="J816" s="2606"/>
      <c r="K816" s="2606"/>
    </row>
    <row r="817" spans="1:11">
      <c r="A817" s="357" t="s">
        <v>952</v>
      </c>
      <c r="B817" s="2606">
        <f>'Part VI-Pro Forma'!B110</f>
        <v>61648.604698007177</v>
      </c>
      <c r="C817" s="2606">
        <f>'Part VI-Pro Forma'!C110</f>
        <v>62881.576791967302</v>
      </c>
      <c r="D817" s="2606">
        <f>'Part VI-Pro Forma'!D110</f>
        <v>64139.208327806664</v>
      </c>
      <c r="E817" s="2606">
        <f>'Part VI-Pro Forma'!E110</f>
        <v>65421.992494362799</v>
      </c>
      <c r="F817" s="2606">
        <f>'Part VI-Pro Forma'!F110</f>
        <v>66730.432344250046</v>
      </c>
      <c r="G817" s="2606"/>
      <c r="H817" s="2606"/>
      <c r="I817" s="2606"/>
      <c r="J817" s="2606"/>
      <c r="K817" s="2606"/>
    </row>
    <row r="818" spans="1:11">
      <c r="A818" s="357" t="s">
        <v>2216</v>
      </c>
      <c r="B818" s="2606">
        <f>'Part VI-Pro Forma'!B111</f>
        <v>-157203.94197991828</v>
      </c>
      <c r="C818" s="2606">
        <f>'Part VI-Pro Forma'!C111</f>
        <v>-160348.02081951662</v>
      </c>
      <c r="D818" s="2606">
        <f>'Part VI-Pro Forma'!D111</f>
        <v>-163554.98123590698</v>
      </c>
      <c r="E818" s="2606">
        <f>'Part VI-Pro Forma'!E111</f>
        <v>-166826.08086062514</v>
      </c>
      <c r="F818" s="2606">
        <f>'Part VI-Pro Forma'!F111</f>
        <v>-170162.60247783762</v>
      </c>
      <c r="G818" s="2606"/>
      <c r="H818" s="2606"/>
      <c r="I818" s="2606"/>
      <c r="J818" s="2606"/>
      <c r="K818" s="2606"/>
    </row>
    <row r="819" spans="1:11">
      <c r="A819" s="357" t="s">
        <v>47</v>
      </c>
      <c r="B819" s="2606">
        <f>'Part VI-Pro Forma'!B112</f>
        <v>150169.12076850454</v>
      </c>
      <c r="C819" s="2606">
        <f>'Part VI-Pro Forma'!C112</f>
        <v>153172.50318387462</v>
      </c>
      <c r="D819" s="2606">
        <f>'Part VI-Pro Forma'!D112</f>
        <v>156235.95324755213</v>
      </c>
      <c r="E819" s="2606">
        <f>'Part VI-Pro Forma'!E112</f>
        <v>159360.67231250319</v>
      </c>
      <c r="F819" s="2606">
        <f>'Part VI-Pro Forma'!F112</f>
        <v>162547.88575875325</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3839</v>
      </c>
      <c r="B821" s="2606">
        <f>'Part VI-Pro Forma'!B114</f>
        <v>3137044.0183869521</v>
      </c>
      <c r="C821" s="2606">
        <f>'Part VI-Pro Forma'!C114</f>
        <v>3199784.8987546903</v>
      </c>
      <c r="D821" s="2606">
        <f>'Part VI-Pro Forma'!D114</f>
        <v>3263780.5967297847</v>
      </c>
      <c r="E821" s="2606">
        <f>'Part VI-Pro Forma'!E114</f>
        <v>3329056.2086643809</v>
      </c>
      <c r="F821" s="2606">
        <f>'Part VI-Pro Forma'!F114</f>
        <v>3395637.3328376678</v>
      </c>
      <c r="G821" s="2606"/>
      <c r="H821" s="2606"/>
      <c r="I821" s="2606"/>
      <c r="J821" s="2606"/>
      <c r="K821" s="2606"/>
    </row>
    <row r="822" spans="1:11">
      <c r="A822" s="357" t="s">
        <v>572</v>
      </c>
      <c r="B822" s="2606">
        <f>'Part VI-Pro Forma'!B115</f>
        <v>-1936132.6292943696</v>
      </c>
      <c r="C822" s="2606">
        <f>'Part VI-Pro Forma'!C115</f>
        <v>-1994216.6081732011</v>
      </c>
      <c r="D822" s="2606">
        <f>'Part VI-Pro Forma'!D115</f>
        <v>-2054043.1064183968</v>
      </c>
      <c r="E822" s="2606">
        <f>'Part VI-Pro Forma'!E115</f>
        <v>-2115664.3996109487</v>
      </c>
      <c r="F822" s="2606">
        <f>'Part VI-Pro Forma'!F115</f>
        <v>-2179134.331599277</v>
      </c>
      <c r="G822" s="2606"/>
      <c r="H822" s="2606"/>
      <c r="I822" s="2606"/>
      <c r="J822" s="2606"/>
      <c r="K822" s="2606"/>
    </row>
    <row r="823" spans="1:11">
      <c r="A823" s="357" t="s">
        <v>1050</v>
      </c>
      <c r="B823" s="2606">
        <f>'Part VI-Pro Forma'!B116</f>
        <v>-109797</v>
      </c>
      <c r="C823" s="2606">
        <f>'Part VI-Pro Forma'!C116</f>
        <v>-111992</v>
      </c>
      <c r="D823" s="2606">
        <f>'Part VI-Pro Forma'!D116</f>
        <v>-114232</v>
      </c>
      <c r="E823" s="2606">
        <f>'Part VI-Pro Forma'!E116</f>
        <v>-116517</v>
      </c>
      <c r="F823" s="2606">
        <f>'Part VI-Pro Forma'!F116</f>
        <v>-118847</v>
      </c>
      <c r="G823" s="2606"/>
      <c r="H823" s="2606"/>
      <c r="I823" s="2606"/>
      <c r="J823" s="2606"/>
      <c r="K823" s="2606"/>
    </row>
    <row r="824" spans="1:11">
      <c r="A824" s="357" t="s">
        <v>1128</v>
      </c>
      <c r="B824" s="2606">
        <f>'Part VI-Pro Forma'!B117</f>
        <v>-137625.78211645366</v>
      </c>
      <c r="C824" s="2606">
        <f>'Part VI-Pro Forma'!C117</f>
        <v>-141754.55557994731</v>
      </c>
      <c r="D824" s="2606">
        <f>'Part VI-Pro Forma'!D117</f>
        <v>-146007.19224734569</v>
      </c>
      <c r="E824" s="2606">
        <f>'Part VI-Pro Forma'!E117</f>
        <v>-150387.40801476609</v>
      </c>
      <c r="F824" s="2606">
        <f>'Part VI-Pro Forma'!F117</f>
        <v>-154899.03025520904</v>
      </c>
      <c r="G824" s="2606"/>
      <c r="H824" s="2606"/>
      <c r="I824" s="2606"/>
      <c r="J824" s="2606"/>
      <c r="K824" s="2606"/>
    </row>
    <row r="825" spans="1:11">
      <c r="A825" s="357" t="s">
        <v>3838</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953488.60697612888</v>
      </c>
      <c r="C826" s="2606">
        <f>SUM(C821:C825)</f>
        <v>951821.73500154191</v>
      </c>
      <c r="D826" s="2606">
        <f>SUM(D821:D825)</f>
        <v>949498.29806404223</v>
      </c>
      <c r="E826" s="2606">
        <f>SUM(E821:E825)</f>
        <v>946487.40103866614</v>
      </c>
      <c r="F826" s="2606">
        <f>SUM(F821:F825)</f>
        <v>942756.97098318173</v>
      </c>
      <c r="G826" s="2606"/>
      <c r="H826" s="2606"/>
      <c r="I826" s="2606"/>
      <c r="J826" s="2606"/>
      <c r="K826" s="2606"/>
    </row>
    <row r="827" spans="1:11">
      <c r="A827" s="357" t="str">
        <f>$A797</f>
        <v>Mortgage A</v>
      </c>
      <c r="B827" s="2606">
        <f>'Part VI-Pro Forma'!B120</f>
        <v>-634763.60500293621</v>
      </c>
      <c r="C827" s="2606">
        <f>'Part VI-Pro Forma'!C120</f>
        <v>-634763.60500293621</v>
      </c>
      <c r="D827" s="2606">
        <f>'Part VI-Pro Forma'!D120</f>
        <v>-634763.60500293621</v>
      </c>
      <c r="E827" s="2606">
        <f>'Part VI-Pro Forma'!E120</f>
        <v>-634763.60500293621</v>
      </c>
      <c r="F827" s="2606">
        <f>'Part VI-Pro Forma'!F120</f>
        <v>-634763.60500293621</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311225.00197319267</v>
      </c>
      <c r="C833" s="2606">
        <f>SUM(C826:C832)</f>
        <v>309558.1299986057</v>
      </c>
      <c r="D833" s="2606">
        <f>SUM(D826:D832)</f>
        <v>307234.69306110602</v>
      </c>
      <c r="E833" s="2606">
        <f>SUM(E826:E832)</f>
        <v>304223.79603572993</v>
      </c>
      <c r="F833" s="2606">
        <f>SUM(F826:F832)</f>
        <v>300493.36598024552</v>
      </c>
      <c r="G833" s="2606"/>
      <c r="H833" s="2606"/>
      <c r="I833" s="2606"/>
      <c r="J833" s="2606"/>
      <c r="K833" s="2606"/>
    </row>
    <row r="834" spans="1:11">
      <c r="A834" s="357" t="str">
        <f>$A804</f>
        <v>DCR Mortgage A</v>
      </c>
      <c r="B834" s="2607">
        <f>IF(B827=0,"",-B826/B827)</f>
        <v>1.5021160625170347</v>
      </c>
      <c r="C834" s="2607">
        <f>IF(C827=0,"",-C826/C827)</f>
        <v>1.499490089695894</v>
      </c>
      <c r="D834" s="2607">
        <f>IF(D827=0,"",-D826/D827)</f>
        <v>1.4958297712416107</v>
      </c>
      <c r="E834" s="2607">
        <f>IF(E827=0,"",-E826/E827)</f>
        <v>1.4910864352947393</v>
      </c>
      <c r="F834" s="2607">
        <f>IF(F827=0,"",-F826/F827)</f>
        <v>1.4852095544747259</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1.5021160625170347</v>
      </c>
      <c r="C838" s="2607">
        <f>IF(AND(C827=0,C828=0,C829=0,C830=0),"",-C826/(C827+C828+C829+C830))</f>
        <v>1.499490089695894</v>
      </c>
      <c r="D838" s="2607">
        <f>IF(AND(D827=0,D828=0,D829=0,D830=0),"",-D826/(D827+D828+D829+D830))</f>
        <v>1.4958297712416107</v>
      </c>
      <c r="E838" s="2607">
        <f>IF(AND(E827=0,E828=0,E829=0,E830=0),"",-E826/(E827+E828+E829+E830))</f>
        <v>1.4910864352947393</v>
      </c>
      <c r="F838" s="2607">
        <f>IF(AND(F827=0,F828=0,F829=0,F830=0),"",-F826/(F827+F828+F829+F830))</f>
        <v>1.4852095544747259</v>
      </c>
      <c r="G838" s="2606"/>
      <c r="H838" s="2606"/>
      <c r="I838" s="2606"/>
      <c r="J838" s="2606"/>
      <c r="K838" s="2606"/>
    </row>
    <row r="839" spans="1:11">
      <c r="A839" s="357" t="s">
        <v>718</v>
      </c>
      <c r="B839" s="2608">
        <f>IF(OR(B823="Choose mgt fee",B823="Choose One!"),"",(B816+B817+B818+B819+B820) / -(B822+B823+B824))</f>
        <v>1.4366679233297164</v>
      </c>
      <c r="C839" s="2608">
        <f>IF(OR(C823="Choose mgt fee",C823="Choose One!"),"",(C816+C817+C818+C819+C820) / -(C822+C823+C824))</f>
        <v>1.4234151832863677</v>
      </c>
      <c r="D839" s="2608">
        <f>IF(OR(D823="Choose mgt fee",D823="Choose One!"),"",(D816+D817+D818+D819+D820) / -(D822+D823+D824))</f>
        <v>1.410277647896049</v>
      </c>
      <c r="E839" s="2608">
        <f>IF(OR(E823="Choose mgt fee",E823="Choose One!"),"",(E816+E817+E818+E819+E820) / -(E822+E823+E824))</f>
        <v>1.397255012325064</v>
      </c>
      <c r="F839" s="2608">
        <f>IF(OR(F823="Choose mgt fee",F823="Choose One!"),"",(F816+F817+F818+F819+F820) / -(F822+F823+F824))</f>
        <v>1.3843469031936053</v>
      </c>
      <c r="G839" s="2606"/>
      <c r="H839" s="2606"/>
      <c r="I839" s="2606"/>
      <c r="J839" s="2606"/>
      <c r="K839" s="2606"/>
    </row>
    <row r="840" spans="1:11">
      <c r="A840" s="357" t="s">
        <v>2405</v>
      </c>
      <c r="B840" s="2606">
        <f>'Part VI-Pro Forma'!B133</f>
        <v>4592837.7585827867</v>
      </c>
      <c r="C840" s="2606">
        <f>'Part VI-Pro Forma'!C133</f>
        <v>4178301.8402107442</v>
      </c>
      <c r="D840" s="2606">
        <f>'Part VI-Pro Forma'!D133</f>
        <v>3742557.4775146414</v>
      </c>
      <c r="E840" s="2606">
        <f>'Part VI-Pro Forma'!E133</f>
        <v>3284519.6062317397</v>
      </c>
      <c r="F840" s="2606">
        <f>'Part VI-Pro Forma'!F133</f>
        <v>2803047.6481522955</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Richmond Summit,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6772</v>
      </c>
      <c r="Q854" s="2850" t="s">
        <v>6532</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6773</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6996</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6634</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6775</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Project meets DCA's underwriting guidelines and has received the following underwriting waiver approvals: waiver to waive rent-up reserve, waiver to underwrite to a 5% vacancy, waiver to use the post renovation rents that are posted in the HUD HAP contract. Support for building permit fees, property tax expenses, and insurance expense projections have been included in the documentation. All funding sources have been certified and equity pricing is reasonable and in-line with industry standards. The project utilizes post renovation HUD-approved rents, which have been provided. The deferred developer fee does not exceed 50% of total developer fee and is payable within fifteen years. There is no assumption of existing debt nor is the project Mixed Use.</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3241</v>
      </c>
      <c r="C891" s="2106"/>
      <c r="D891" s="2868"/>
      <c r="E891" s="2868"/>
      <c r="F891" s="2868"/>
      <c r="G891" s="2868"/>
      <c r="H891" s="2107"/>
      <c r="I891" s="2108"/>
      <c r="J891" s="2108"/>
      <c r="K891" s="2106"/>
      <c r="L891" s="2106"/>
      <c r="M891" s="2106"/>
      <c r="N891" s="2106"/>
      <c r="O891" s="2106"/>
      <c r="P891" s="2106"/>
      <c r="Q891" s="2106"/>
    </row>
    <row r="892" spans="1:17" ht="171">
      <c r="A892" s="2860" t="str">
        <f>'Part VII-Threshold Criteria'!A41</f>
        <v>Project is elderly/disabled designated by HUD and prior Georgia DCA LURC.</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3241</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Applicant certifies that they will meet the following services: full-time activities manager will be allowed in the operating budget; Temporary staffing during lease-up to handle activities set-up and sign-up; Part-time activity managers to be included in operating budgets on smaller projects as needed. Applicants to track resident participation in on-site services. Project intends to include 4 activities and has a full-time resident services coordinator.</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4020</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CBRE</v>
      </c>
      <c r="J904" s="2862"/>
      <c r="K904" s="2862"/>
      <c r="L904" s="2862"/>
      <c r="M904" s="2862"/>
      <c r="N904" s="2862"/>
      <c r="O904" s="2862"/>
      <c r="P904" s="2862"/>
      <c r="Q904" s="2862"/>
    </row>
    <row r="905" spans="1:17" ht="15">
      <c r="A905" s="2871"/>
      <c r="B905" s="2106" t="s">
        <v>6778</v>
      </c>
      <c r="C905" s="2106"/>
      <c r="D905" s="2860"/>
      <c r="E905" s="2860"/>
      <c r="F905" s="2860"/>
      <c r="G905" s="2106"/>
      <c r="H905" s="2106"/>
      <c r="I905" s="2860">
        <f>'Part VII-Threshold Criteria'!I54</f>
        <v>0.97</v>
      </c>
      <c r="J905" s="2860"/>
      <c r="K905" s="2860"/>
      <c r="L905" s="2873"/>
      <c r="M905" s="2874"/>
      <c r="N905" s="2874"/>
      <c r="O905" s="2874"/>
      <c r="P905" s="2874"/>
      <c r="Q905" s="2109"/>
    </row>
    <row r="906" spans="1:17" ht="15">
      <c r="A906" s="2871"/>
      <c r="B906" s="2106" t="s">
        <v>6779</v>
      </c>
      <c r="C906" s="2106"/>
      <c r="D906" s="2860"/>
      <c r="E906" s="2860"/>
      <c r="F906" s="2860"/>
      <c r="G906" s="2106"/>
      <c r="H906" s="2873" t="s">
        <v>6780</v>
      </c>
      <c r="I906" s="2860">
        <f>'Part VII-Threshold Criteria'!I55</f>
        <v>0.16300000000000001</v>
      </c>
      <c r="J906" s="2860"/>
      <c r="K906" s="2860"/>
      <c r="L906" s="2874"/>
      <c r="M906" s="2875" t="s">
        <v>6781</v>
      </c>
      <c r="N906" s="2860">
        <f>'Part VII-Threshold Criteria'!N55</f>
        <v>0.47499999999999998</v>
      </c>
      <c r="O906" s="2860"/>
      <c r="P906" s="2106"/>
      <c r="Q906" s="2106"/>
    </row>
    <row r="907" spans="1:17" ht="15">
      <c r="A907" s="2106"/>
      <c r="B907" s="2868" t="s">
        <v>3241</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 xml:space="preserve">The project is currently 97% occupied and has an average of being over 95% occupied for the last 24 months. For this reason, there is no calculated property absorption period to reach stabilized occupancy as the project is already stabilized.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42.75">
      <c r="A914" s="2871"/>
      <c r="B914" s="2106" t="s">
        <v>6782</v>
      </c>
      <c r="C914" s="2106"/>
      <c r="D914" s="2106"/>
      <c r="E914" s="2106"/>
      <c r="F914" s="2106"/>
      <c r="G914" s="2106"/>
      <c r="H914" s="2106"/>
      <c r="I914" s="2860"/>
      <c r="J914" s="2860" t="str">
        <f>'Part VII-Threshold Criteria'!J63</f>
        <v>Appraisal not required.</v>
      </c>
      <c r="K914" s="2860"/>
      <c r="L914" s="2860"/>
      <c r="M914" s="2860"/>
      <c r="N914" s="2860"/>
      <c r="O914" s="2860"/>
      <c r="P914" s="2860"/>
      <c r="Q914" s="2860"/>
    </row>
    <row r="915" spans="1:17" ht="15">
      <c r="A915" s="2871"/>
      <c r="B915" s="2106" t="s">
        <v>3949</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6783</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6784</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6775</v>
      </c>
      <c r="C918" s="2106"/>
      <c r="D918" s="2868"/>
      <c r="E918" s="2868"/>
      <c r="F918" s="2868"/>
      <c r="G918" s="2868"/>
      <c r="H918" s="2107"/>
      <c r="I918" s="2108"/>
      <c r="J918" s="2108"/>
      <c r="K918" s="2108"/>
      <c r="L918" s="2109"/>
      <c r="M918" s="2109"/>
      <c r="N918" s="2109"/>
      <c r="O918" s="2109"/>
      <c r="P918" s="2109"/>
      <c r="Q918" s="2109"/>
    </row>
    <row r="919" spans="1:17" ht="213.75">
      <c r="A919" s="2860" t="str">
        <f>'Part VII-Threshold Criteria'!A68</f>
        <v xml:space="preserve">No appraisal has been included as there is no identity of interest between the buyer and seller.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6785</v>
      </c>
      <c r="C925" s="2860"/>
      <c r="D925" s="2860"/>
      <c r="E925" s="2860"/>
      <c r="F925" s="2860"/>
      <c r="G925" s="2860"/>
      <c r="H925" s="2860"/>
      <c r="I925" s="2860"/>
      <c r="J925" s="2860"/>
      <c r="K925" s="2860"/>
      <c r="L925" s="2876" t="str">
        <f>'Part VII-Threshold Criteria'!L74</f>
        <v>Partner Engineering &amp; Science</v>
      </c>
      <c r="M925" s="2876"/>
      <c r="N925" s="2876"/>
      <c r="O925" s="2876"/>
      <c r="P925" s="2876"/>
      <c r="Q925" s="2876"/>
    </row>
    <row r="926" spans="1:17" ht="15">
      <c r="A926" s="2106"/>
      <c r="B926" s="2106" t="s">
        <v>6786</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6632</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6787</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6788</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6789</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6790</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6791</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6999</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The following conditions were identified by the environmental professional: Mold and Moisture - present in building due to historical roof and plumbing leaks; Asbestos - based on sample testing, the following materials are confirmed: roof coping caulk, roof door caulk; Lead-Based Paint - identified on interior and exterior; Lead in water - the result for one sample exceeded the EPA level; The applicant will incorporate the Recommendations on Section 1.3 of the Phase 1 into the renovation as much as feasibly possible. </v>
      </c>
      <c r="C934" s="2860"/>
      <c r="D934" s="2860"/>
      <c r="E934" s="2860"/>
      <c r="F934" s="2860"/>
      <c r="G934" s="2860"/>
      <c r="H934" s="2860"/>
      <c r="I934" s="2860"/>
      <c r="J934" s="2860"/>
      <c r="K934" s="2860"/>
      <c r="L934" s="2860"/>
      <c r="M934" s="2860"/>
      <c r="N934" s="2860"/>
      <c r="O934" s="2860"/>
      <c r="P934" s="2860"/>
      <c r="Q934" s="2860"/>
    </row>
    <row r="935" spans="1:17" ht="15">
      <c r="A935" s="2106"/>
      <c r="B935" s="2868" t="s">
        <v>3241</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All Environmental Manual Requirements have been met. The property did not require a Phase II and as such, one has not been provided. The project is also not subject to Site and Neighborhood Standards as it not financed with HOME Funds.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Warranty Deed</v>
      </c>
      <c r="M942" s="2890"/>
      <c r="N942" s="2890"/>
      <c r="O942" s="2859" t="s">
        <v>1646</v>
      </c>
      <c r="P942" s="2859"/>
      <c r="Q942" s="2859"/>
    </row>
    <row r="943" spans="1:17" ht="71.25">
      <c r="A943" s="2871"/>
      <c r="B943" s="2106" t="s">
        <v>636</v>
      </c>
      <c r="C943" s="2106"/>
      <c r="D943" s="2106"/>
      <c r="E943" s="2106"/>
      <c r="F943" s="2106"/>
      <c r="G943" s="2860" t="str">
        <f>'Part VII-Threshold Criteria'!G92</f>
        <v>Richmond Summit Apartments, LP</v>
      </c>
      <c r="H943" s="2860"/>
      <c r="I943" s="2860"/>
      <c r="J943" s="2860"/>
      <c r="K943" s="2860"/>
      <c r="L943" s="2860"/>
      <c r="M943" s="2860"/>
      <c r="N943" s="2860"/>
      <c r="O943" s="2860"/>
      <c r="P943" s="2860"/>
      <c r="Q943" s="2860"/>
    </row>
    <row r="944" spans="1:17" ht="15">
      <c r="A944" s="2106"/>
      <c r="B944" s="2868" t="s">
        <v>3241</v>
      </c>
      <c r="C944" s="2106"/>
      <c r="D944" s="2868"/>
      <c r="E944" s="2868"/>
      <c r="F944" s="2868"/>
      <c r="G944" s="2868"/>
      <c r="H944" s="2107"/>
      <c r="I944" s="2108"/>
      <c r="J944" s="2108"/>
      <c r="K944" s="2108"/>
      <c r="L944" s="2109"/>
      <c r="M944" s="2109"/>
      <c r="N944" s="2109"/>
      <c r="O944" s="2109"/>
      <c r="P944" s="2109"/>
      <c r="Q944" s="2109"/>
    </row>
    <row r="945" spans="1:17" ht="156.75">
      <c r="A945" s="2860" t="str">
        <f>'Part VII-Threshold Criteria'!A94</f>
        <v xml:space="preserve">Richmond Summit Apartments, LP purchased the site on February 25, 2021.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3241</v>
      </c>
      <c r="C951" s="2106"/>
      <c r="D951" s="2868"/>
      <c r="E951" s="2868"/>
      <c r="F951" s="2868"/>
      <c r="G951" s="2868"/>
      <c r="H951" s="2107"/>
      <c r="I951" s="2108"/>
      <c r="J951" s="2108"/>
      <c r="K951" s="2108"/>
      <c r="L951" s="2109"/>
      <c r="M951" s="2109"/>
      <c r="N951" s="2109"/>
      <c r="O951" s="2109"/>
      <c r="P951" s="2109"/>
      <c r="Q951" s="2109"/>
    </row>
    <row r="952" spans="1:17" ht="285">
      <c r="A952" s="2860" t="str">
        <f>'Part VII-Threshold Criteria'!A101</f>
        <v>The site provides a specified entrance that is legally accessible by paved roads, as shown by the provided drawings and survey.</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3241</v>
      </c>
      <c r="C958" s="2106"/>
      <c r="D958" s="2868"/>
      <c r="E958" s="2868"/>
      <c r="F958" s="2868"/>
      <c r="G958" s="2868"/>
      <c r="H958" s="2107"/>
      <c r="I958" s="2108"/>
      <c r="J958" s="2108"/>
      <c r="K958" s="2108"/>
      <c r="L958" s="2109"/>
      <c r="M958" s="2109"/>
      <c r="N958" s="2109"/>
      <c r="O958" s="2109"/>
      <c r="P958" s="2109"/>
      <c r="Q958" s="2109"/>
    </row>
    <row r="959" spans="1:17" ht="171">
      <c r="A959" s="2860" t="str">
        <f>'Part VII-Threshold Criteria'!A108</f>
        <v>Project proposes rehabilitation only and therefore is exempt from this section.</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6793</v>
      </c>
      <c r="C965" s="2106"/>
      <c r="D965" s="2106"/>
      <c r="E965" s="2106"/>
      <c r="F965" s="2106"/>
      <c r="G965" s="2106"/>
      <c r="H965" s="2106" t="s">
        <v>6794</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6795</v>
      </c>
      <c r="I966" s="2106"/>
      <c r="J966" s="2859" t="str">
        <f>'Part VII-Threshold Criteria'!J115</f>
        <v>&lt;&lt;Enter Provider Name Here&gt;&gt;</v>
      </c>
      <c r="K966" s="2859"/>
      <c r="L966" s="2859"/>
      <c r="M966" s="2859"/>
      <c r="N966" s="2859"/>
      <c r="O966" s="2859"/>
      <c r="P966" s="2859"/>
      <c r="Q966" s="2859"/>
    </row>
    <row r="967" spans="1:17" ht="15">
      <c r="A967" s="2871"/>
      <c r="B967" s="2868" t="s">
        <v>3241</v>
      </c>
      <c r="C967" s="2860"/>
      <c r="D967" s="2860"/>
      <c r="E967" s="2860"/>
      <c r="F967" s="2860"/>
      <c r="G967" s="2106"/>
      <c r="H967" s="2106"/>
      <c r="I967" s="2106"/>
      <c r="J967" s="2106"/>
      <c r="K967" s="2106"/>
      <c r="L967" s="2106"/>
      <c r="M967" s="2106"/>
      <c r="N967" s="2106"/>
      <c r="O967" s="2106"/>
      <c r="P967" s="2106"/>
      <c r="Q967" s="2106"/>
    </row>
    <row r="968" spans="1:17" ht="171">
      <c r="A968" s="2860" t="str">
        <f>'Part VII-Threshold Criteria'!A117</f>
        <v>Project proposes rehabilitation only and therefore is exempt from this section.</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6796</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6797</v>
      </c>
      <c r="C974" s="2106"/>
      <c r="D974" s="2106"/>
      <c r="E974" s="2106"/>
      <c r="F974" s="2106"/>
      <c r="G974" s="2106"/>
      <c r="H974" s="2106" t="s">
        <v>6798</v>
      </c>
      <c r="I974" s="2106"/>
      <c r="J974" s="2859" t="str">
        <f>'Part VII-Threshold Criteria'!J123</f>
        <v>&lt;&lt;Enter Provider Name Here&gt;&gt;</v>
      </c>
      <c r="K974" s="2859"/>
      <c r="L974" s="2859"/>
      <c r="M974" s="2859"/>
      <c r="N974" s="2859"/>
      <c r="O974" s="2859"/>
      <c r="P974" s="2859"/>
      <c r="Q974" s="2859"/>
    </row>
    <row r="975" spans="1:17" ht="15">
      <c r="A975" s="2860"/>
      <c r="B975" s="2871"/>
      <c r="C975" s="2106"/>
      <c r="D975" s="2106"/>
      <c r="E975" s="2106"/>
      <c r="F975" s="2106"/>
      <c r="G975" s="2106"/>
      <c r="H975" s="2106" t="s">
        <v>6799</v>
      </c>
      <c r="I975" s="2106"/>
      <c r="J975" s="2859" t="str">
        <f>'Part VII-Threshold Criteria'!J124</f>
        <v>&lt;&lt;Enter Provider Name Here&gt;&gt;</v>
      </c>
      <c r="K975" s="2859"/>
      <c r="L975" s="2859"/>
      <c r="M975" s="2859"/>
      <c r="N975" s="2859"/>
      <c r="O975" s="2859"/>
      <c r="P975" s="2859"/>
      <c r="Q975" s="2859"/>
    </row>
    <row r="976" spans="1:17" ht="15">
      <c r="A976" s="2106"/>
      <c r="B976" s="2868" t="s">
        <v>3241</v>
      </c>
      <c r="C976" s="2106"/>
      <c r="D976" s="2865"/>
      <c r="E976" s="2865"/>
      <c r="F976" s="2865"/>
      <c r="G976" s="2865"/>
      <c r="H976" s="2106"/>
      <c r="I976" s="2106"/>
      <c r="J976" s="2106"/>
      <c r="K976" s="2106"/>
      <c r="L976" s="2859"/>
      <c r="M976" s="2859"/>
      <c r="N976" s="2859"/>
      <c r="O976" s="2859"/>
      <c r="P976" s="2859"/>
      <c r="Q976" s="2859"/>
    </row>
    <row r="977" spans="1:17" ht="171">
      <c r="A977" s="2860" t="str">
        <f>'Part VII-Threshold Criteria'!A126</f>
        <v>Project proposes rehabilitation only and therefore is exempt from this section.</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6719</v>
      </c>
      <c r="D986" s="2106"/>
      <c r="E986" s="2107"/>
      <c r="F986" s="2107"/>
      <c r="G986" s="2107"/>
      <c r="H986" s="2107"/>
      <c r="I986" s="2106"/>
      <c r="J986" s="2873"/>
      <c r="K986" s="2106"/>
      <c r="L986" s="2106"/>
      <c r="M986" s="2859" t="str">
        <f>'Part VII-Threshold Criteria'!M135</f>
        <v>Other Pre-Approved</v>
      </c>
      <c r="N986" s="2859"/>
      <c r="O986" s="2859"/>
      <c r="P986" s="2859"/>
      <c r="Q986" s="2859"/>
    </row>
    <row r="987" spans="1:17" ht="15" customHeight="1">
      <c r="A987" s="2871"/>
      <c r="B987" s="2107"/>
      <c r="C987" s="2860" t="str">
        <f>'Part VII-Threshold Criteria'!C136</f>
        <v>Please see Architectural Waiver. The proposed development does not have exterior space.</v>
      </c>
      <c r="D987" s="2860"/>
      <c r="E987" s="2860"/>
      <c r="F987" s="2860"/>
      <c r="G987" s="2860"/>
      <c r="H987" s="2860"/>
      <c r="I987" s="2860"/>
      <c r="J987" s="2860"/>
      <c r="K987" s="2860"/>
      <c r="L987" s="2860"/>
      <c r="M987" s="2860"/>
      <c r="N987" s="2860"/>
      <c r="O987" s="2860"/>
      <c r="P987" s="2860"/>
      <c r="Q987" s="2860"/>
    </row>
    <row r="988" spans="1:17" ht="15">
      <c r="A988" s="2871"/>
      <c r="B988" s="2107"/>
      <c r="C988" s="2107" t="s">
        <v>3787</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Wellness Center</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 xml:space="preserve">Furnished Arts &amp; Craft /Activity Center </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t="str">
        <f>'Part VII-Threshold Criteria'!C142</f>
        <v xml:space="preserve">Equipped Computer Center and WiFi </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2182</v>
      </c>
      <c r="C994" s="2862" t="str">
        <f>'Part VII-Threshold Criteria'!C143</f>
        <v>Furnished Exercise /Fitness Center</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3241</v>
      </c>
      <c r="C995" s="2106"/>
      <c r="D995" s="2868"/>
      <c r="E995" s="2868"/>
      <c r="F995" s="2868"/>
      <c r="G995" s="2868"/>
      <c r="H995" s="2107"/>
      <c r="I995" s="2108"/>
      <c r="J995" s="2108"/>
      <c r="K995" s="2108"/>
      <c r="L995" s="2109"/>
      <c r="M995" s="2109"/>
      <c r="N995" s="2109"/>
      <c r="O995" s="2109"/>
      <c r="P995" s="2106"/>
      <c r="Q995" s="2106"/>
    </row>
    <row r="996" spans="1:17" ht="370.5">
      <c r="A996" s="2860" t="str">
        <f>'Part VII-Threshold Criteria'!A145</f>
        <v xml:space="preserve">Please refer to Architectural waiver submission regarding A2 and inability to provide accesible exterior gathering area. Dishwashers are not required as a senior HUD property.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3952</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71.25">
      <c r="A1004" s="2871"/>
      <c r="B1004" s="2106" t="s">
        <v>1806</v>
      </c>
      <c r="C1004" s="2106"/>
      <c r="D1004" s="2106"/>
      <c r="E1004" s="2106"/>
      <c r="F1004" s="2106"/>
      <c r="G1004" s="2106"/>
      <c r="H1004" s="2860" t="str">
        <f>'Part VII-Threshold Criteria'!H153</f>
        <v>Partner Engineering &amp; Science, Inc.</v>
      </c>
      <c r="I1004" s="2860"/>
      <c r="J1004" s="2860"/>
      <c r="K1004" s="2860"/>
      <c r="L1004" s="2860"/>
      <c r="M1004" s="2860"/>
      <c r="N1004" s="2860"/>
      <c r="O1004" s="2860"/>
      <c r="P1004" s="2860"/>
      <c r="Q1004" s="2860"/>
    </row>
    <row r="1005" spans="1:17" ht="15">
      <c r="A1005" s="2106"/>
      <c r="B1005" s="2868" t="s">
        <v>3241</v>
      </c>
      <c r="C1005" s="2106"/>
      <c r="D1005" s="2868"/>
      <c r="E1005" s="2868"/>
      <c r="F1005" s="2868"/>
      <c r="G1005" s="2868"/>
      <c r="H1005" s="2107"/>
      <c r="I1005" s="2108"/>
      <c r="J1005" s="2108"/>
      <c r="K1005" s="2108"/>
      <c r="L1005" s="2109"/>
      <c r="M1005" s="2109"/>
      <c r="N1005" s="2109"/>
      <c r="O1005" s="2109"/>
      <c r="P1005" s="2109"/>
      <c r="Q1005" s="2109"/>
    </row>
    <row r="1006" spans="1:17" ht="228">
      <c r="A1006" s="2860" t="str">
        <f>'Part VII-Threshold Criteria'!A155</f>
        <v xml:space="preserve">Project includes all applicable documentation and the work scope addressess deficiences noted in the PNA. </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3241</v>
      </c>
      <c r="C1012" s="2106"/>
      <c r="D1012" s="2868"/>
      <c r="E1012" s="2868"/>
      <c r="F1012" s="2868"/>
      <c r="G1012" s="2868"/>
      <c r="H1012" s="2107"/>
      <c r="I1012" s="2108"/>
      <c r="J1012" s="2108"/>
      <c r="K1012" s="2108"/>
      <c r="L1012" s="2109"/>
      <c r="M1012" s="2109"/>
      <c r="N1012" s="2109"/>
      <c r="O1012" s="2109"/>
      <c r="P1012" s="2109"/>
      <c r="Q1012" s="2109"/>
    </row>
    <row r="1013" spans="1:17" ht="299.25">
      <c r="A1013" s="2860" t="str">
        <f>'Part VII-Threshold Criteria'!A162</f>
        <v>Applicant has included the CSDP along with a location/vicinity map, site map and color photographs, and aerial photos of the site.</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3371</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6199</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6198</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6200</v>
      </c>
      <c r="C1023" s="2860"/>
      <c r="D1023" s="2860"/>
      <c r="E1023" s="2860"/>
      <c r="F1023" s="2860"/>
      <c r="G1023" s="2860"/>
      <c r="H1023" s="2860"/>
      <c r="I1023" s="2860"/>
      <c r="J1023" s="2860"/>
      <c r="K1023" s="2860"/>
      <c r="L1023" s="2860"/>
      <c r="M1023" s="2860"/>
      <c r="N1023" s="2610" t="s">
        <v>6201</v>
      </c>
      <c r="O1023" s="2873" t="s">
        <v>698</v>
      </c>
      <c r="P1023" s="2859" t="str">
        <f>'Part VII-Threshold Criteria'!P172</f>
        <v>Agree</v>
      </c>
      <c r="Q1023" s="2859"/>
    </row>
    <row r="1024" spans="1:17" ht="15">
      <c r="A1024" s="2106"/>
      <c r="B1024" s="2868" t="s">
        <v>3241</v>
      </c>
      <c r="C1024" s="2106"/>
      <c r="D1024" s="2106"/>
      <c r="E1024" s="2106"/>
      <c r="F1024" s="2106"/>
      <c r="G1024" s="2106"/>
      <c r="H1024" s="2106"/>
      <c r="I1024" s="2106"/>
      <c r="J1024" s="2106"/>
      <c r="K1024" s="2106"/>
      <c r="L1024" s="2106"/>
      <c r="M1024" s="2108"/>
      <c r="N1024" s="2108"/>
      <c r="O1024" s="2893"/>
      <c r="P1024" s="2109"/>
      <c r="Q1024" s="2106"/>
    </row>
    <row r="1025" spans="1:17" ht="313.5">
      <c r="A1025" s="2860" t="str">
        <f>'Part VII-Threshold Criteria'!A174</f>
        <v>The Project is targeting bronze certification from National Green Building Standards and has a draft score sufficient to qualify for this level of certification.</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3372</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Yes</v>
      </c>
      <c r="Q1031" s="2859"/>
    </row>
    <row r="1032" spans="1:17" ht="15" customHeight="1">
      <c r="A1032" s="2106"/>
      <c r="B1032" s="2860" t="s">
        <v>7005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3294</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7</v>
      </c>
      <c r="M1035" s="2898">
        <f>'DCA Underwriting Assumptions'!$Q$122</f>
        <v>0.05</v>
      </c>
      <c r="N1035" s="2106"/>
      <c r="O1035" s="2873"/>
      <c r="P1035" s="2859">
        <f>'Part VII-Threshold Criteria'!P184</f>
        <v>7</v>
      </c>
      <c r="Q1035" s="2859"/>
    </row>
    <row r="1036" spans="1:17" ht="15" customHeight="1">
      <c r="A1036" s="2871"/>
      <c r="B1036" s="2107"/>
      <c r="C1036" s="2106"/>
      <c r="D1036" s="2860" t="s">
        <v>6811</v>
      </c>
      <c r="E1036" s="2860"/>
      <c r="F1036" s="2860"/>
      <c r="G1036" s="2860"/>
      <c r="H1036" s="2860"/>
      <c r="I1036" s="2860"/>
      <c r="J1036" s="2860"/>
      <c r="K1036" s="2611"/>
      <c r="L1036" s="2897">
        <f>ROUNDUP(L1035*M1036,0)</f>
        <v>3</v>
      </c>
      <c r="M1036" s="2898">
        <f>'DCA Underwriting Assumptions'!$Q$123</f>
        <v>0.4</v>
      </c>
      <c r="N1036" s="2106"/>
      <c r="O1036" s="2873"/>
      <c r="P1036" s="2859">
        <f>'Part VII-Threshold Criteria'!P185</f>
        <v>3</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3</v>
      </c>
      <c r="M1037" s="2898">
        <f>'DCA Underwriting Assumptions'!$Q$124</f>
        <v>0.02</v>
      </c>
      <c r="N1037" s="2106"/>
      <c r="O1037" s="2873"/>
      <c r="P1037" s="2859">
        <f>'Part VII-Threshold Criteria'!P186</f>
        <v>3</v>
      </c>
      <c r="Q1037" s="2859"/>
    </row>
    <row r="1038" spans="1:17" ht="15">
      <c r="A1038" s="2106"/>
      <c r="B1038" s="2868" t="s">
        <v>3241</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 xml:space="preserve">Applicant commits to comply with all applicable accessibility codes and requirements. Please see approved waivers regarding accessibility standards due to the age of construction of the project.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3370</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Rehab of bldgs eligible for historic preservatn credits will maintain &amp; if necessary replace with matching materials, the existing or original exterior finish surfaces including front wall face, rear wall face and both side wall faces.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3241</v>
      </c>
      <c r="C1053" s="2106"/>
      <c r="D1053" s="2868"/>
      <c r="E1053" s="2868"/>
      <c r="F1053" s="2868"/>
      <c r="G1053" s="2868"/>
      <c r="H1053" s="2107"/>
      <c r="I1053" s="2108"/>
      <c r="J1053" s="2108"/>
      <c r="K1053" s="2108"/>
      <c r="L1053" s="2109"/>
      <c r="M1053" s="2109"/>
      <c r="N1053" s="2109"/>
      <c r="O1053" s="2109"/>
      <c r="P1053" s="2109"/>
      <c r="Q1053" s="2109"/>
    </row>
    <row r="1054" spans="1:17" ht="384.75">
      <c r="A1054" s="2860" t="str">
        <f>'Part VII-Threshold Criteria'!A203</f>
        <v xml:space="preserve">The Project will meet all architectural standards contained in the architectural manual, with the exception of approved architectural waivers, which are included in this application.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3373</v>
      </c>
      <c r="B1059" s="2863" t="s">
        <v>6534</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3241</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Applicant was determined to be a qualified certifying GP/Developer during the 2022 pre-application round. The Project Team received a 2023 Pre-application Project Team Qualified Determination letter from DCA. This letter has been included in the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3374</v>
      </c>
      <c r="B1072" s="2859" t="s">
        <v>6540</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7007</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7008</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7009</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7010</v>
      </c>
      <c r="C1077" s="2862"/>
      <c r="D1077" s="2862"/>
      <c r="E1077" s="2862"/>
      <c r="F1077" s="2862"/>
      <c r="G1077" s="2862"/>
      <c r="H1077" s="2862"/>
      <c r="I1077" s="2862"/>
      <c r="J1077" s="2862"/>
      <c r="K1077" s="2862"/>
      <c r="L1077" s="2862"/>
      <c r="M1077" s="2862"/>
      <c r="N1077" s="2862"/>
      <c r="O1077" s="2862"/>
      <c r="P1077" s="2109" t="str">
        <f>'Part VII-Threshold Criteria'!P226</f>
        <v>Agree</v>
      </c>
      <c r="Q1077" s="2109"/>
    </row>
    <row r="1078" spans="1:17" ht="15">
      <c r="A1078" s="2106"/>
      <c r="B1078" s="2868" t="s">
        <v>3241</v>
      </c>
      <c r="C1078" s="2106"/>
      <c r="D1078" s="2868"/>
      <c r="E1078" s="2868"/>
      <c r="F1078" s="2868"/>
      <c r="G1078" s="2868"/>
      <c r="H1078" s="2107"/>
      <c r="I1078" s="2108"/>
      <c r="J1078" s="2108"/>
      <c r="K1078" s="2108"/>
      <c r="L1078" s="2109"/>
      <c r="M1078" s="2109"/>
      <c r="N1078" s="2109"/>
      <c r="O1078" s="2109"/>
      <c r="P1078" s="2109"/>
      <c r="Q1078" s="2109"/>
    </row>
    <row r="1079" spans="1:17" ht="313.5">
      <c r="A1079" s="2860" t="str">
        <f>'Part VII-Threshold Criteria'!A228</f>
        <v>The project is fully covered by a DCA LURC and 135 of the 136 units will maintain existing project-based rental assistance administered by HUD.</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3377</v>
      </c>
      <c r="B1084" s="2859" t="s">
        <v>3359</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3360</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3361</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3866</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7011</v>
      </c>
      <c r="D1093" s="2106"/>
      <c r="E1093" s="2867"/>
      <c r="F1093" s="2867"/>
      <c r="G1093" s="2867"/>
      <c r="H1093" s="2867"/>
      <c r="I1093" s="2867"/>
      <c r="J1093" s="2867"/>
      <c r="K1093" s="2867"/>
      <c r="L1093" s="2867"/>
      <c r="M1093" s="2867"/>
      <c r="N1093" s="2867"/>
      <c r="O1093" s="2106"/>
      <c r="P1093" s="2106"/>
      <c r="Q1093" s="2106"/>
    </row>
    <row r="1094" spans="1:17" ht="15">
      <c r="A1094" s="2106"/>
      <c r="B1094" s="2868" t="s">
        <v>3241</v>
      </c>
      <c r="C1094" s="2106"/>
      <c r="D1094" s="2868"/>
      <c r="E1094" s="2868"/>
      <c r="F1094" s="2868"/>
      <c r="G1094" s="2868"/>
      <c r="H1094" s="2107"/>
      <c r="I1094" s="2108"/>
      <c r="J1094" s="2108"/>
      <c r="K1094" s="2108"/>
      <c r="L1094" s="2109"/>
      <c r="M1094" s="2109"/>
      <c r="N1094" s="2109"/>
      <c r="O1094" s="2109"/>
      <c r="P1094" s="2109"/>
      <c r="Q1094" s="2109"/>
    </row>
    <row r="1095" spans="1:17" ht="114">
      <c r="A1095" s="2860" t="str">
        <f>'Part VII-Threshold Criteria'!A244</f>
        <v>Applicant has not applied for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3378</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4032</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3241</v>
      </c>
      <c r="C1106" s="2106"/>
      <c r="D1106" s="2868"/>
      <c r="E1106" s="2868"/>
      <c r="F1106" s="2868"/>
      <c r="G1106" s="2868"/>
      <c r="H1106" s="2107"/>
      <c r="I1106" s="2108"/>
      <c r="J1106" s="2108"/>
      <c r="K1106" s="2108"/>
      <c r="L1106" s="2109"/>
      <c r="M1106" s="2109"/>
      <c r="N1106" s="2109"/>
      <c r="O1106" s="2109"/>
      <c r="P1106" s="2109"/>
      <c r="Q1106" s="2109"/>
    </row>
    <row r="1107" spans="1:17" ht="142.5">
      <c r="A1107" s="2860" t="str">
        <f>'Part VII-Threshold Criteria'!A256</f>
        <v>No legal opinions are requred as none of the above apply to this project.</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3379</v>
      </c>
      <c r="B1112" s="2859" t="s">
        <v>3940</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6252</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3939</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4034</v>
      </c>
      <c r="C1116" s="2106"/>
      <c r="D1116" s="2106"/>
      <c r="E1116" s="2106"/>
      <c r="F1116" s="2106"/>
      <c r="G1116" s="2106"/>
      <c r="H1116" s="2106"/>
      <c r="I1116" s="2106"/>
      <c r="J1116" s="2106"/>
      <c r="K1116" s="2106"/>
      <c r="L1116" s="2106"/>
      <c r="M1116" s="2106"/>
      <c r="N1116" s="2106"/>
      <c r="O1116" s="2106"/>
      <c r="P1116" s="2106" t="str">
        <f>'Part VII-Threshold Criteria'!P265</f>
        <v>Yes</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3241</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3380</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3313</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3868</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3869</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3870</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3871</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3314</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3919</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3920</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3241</v>
      </c>
      <c r="C1136" s="2106"/>
      <c r="D1136" s="2868"/>
      <c r="E1136" s="2868"/>
      <c r="F1136" s="2868"/>
      <c r="G1136" s="2868"/>
      <c r="H1136" s="2107"/>
      <c r="I1136" s="2108"/>
      <c r="J1136" s="2108"/>
      <c r="K1136" s="2108"/>
      <c r="L1136" s="2109"/>
      <c r="M1136" s="2109"/>
      <c r="N1136" s="2109"/>
      <c r="O1136" s="2109"/>
      <c r="P1136" s="2109"/>
      <c r="Q1136" s="2109"/>
    </row>
    <row r="1137" spans="1:64" ht="356.25">
      <c r="A1137" s="2860" t="str">
        <f>'Part VII-Threshold Criteria'!A286</f>
        <v xml:space="preserve">Leasing criteria provided by the applicant clearly faciliates the admission and inclusion of targeted population tenants and does not violate federal or state fair housing laws.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3381</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3241</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Proposed project plan ensures the complete, effective, efficient, and lawful allocation and utilization of the Housing Credit Program. The Project has an effective and cost-efficient site design.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Richmond Summit,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41</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6136</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6137</v>
      </c>
      <c r="B1161" s="2199"/>
      <c r="C1161" s="2199"/>
      <c r="D1161" s="2199"/>
      <c r="E1161" s="2199"/>
      <c r="F1161" s="2199"/>
      <c r="G1161" s="2910"/>
      <c r="H1161" s="2199"/>
      <c r="I1161" s="2910"/>
      <c r="J1161" s="2910"/>
      <c r="K1161" s="2910"/>
      <c r="L1161" s="2910"/>
      <c r="M1161" s="2911" t="s">
        <v>7012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3393</v>
      </c>
      <c r="B1163" s="2397" t="s">
        <v>3394</v>
      </c>
      <c r="C1163" s="2199"/>
      <c r="D1163" s="2199"/>
      <c r="E1163" s="2397" t="s">
        <v>3401</v>
      </c>
      <c r="F1163" s="2397" t="s">
        <v>6497</v>
      </c>
      <c r="G1163" s="2397"/>
      <c r="H1163" s="2397"/>
      <c r="I1163" s="2397"/>
      <c r="J1163" s="2397"/>
      <c r="K1163" s="2397"/>
      <c r="L1163" s="2397"/>
      <c r="M1163" s="2397"/>
      <c r="N1163" s="2397"/>
      <c r="O1163" s="2912" t="s">
        <v>3811</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71.25">
      <c r="A1164" s="2913" t="s">
        <v>1668</v>
      </c>
      <c r="B1164" s="2403" t="s">
        <v>3395</v>
      </c>
      <c r="C1164" s="2406"/>
      <c r="D1164" s="2406"/>
      <c r="E1164" s="2914">
        <f>'Part VIII Scoring Criteria'!E13</f>
        <v>0</v>
      </c>
      <c r="F1164" s="2913" t="str">
        <f>'Part VIII Scoring Criteria'!F13</f>
        <v>N/A to preservation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71.25">
      <c r="A1165" s="2913" t="s">
        <v>496</v>
      </c>
      <c r="B1165" s="2403" t="s">
        <v>4039</v>
      </c>
      <c r="C1165" s="2406"/>
      <c r="D1165" s="2406"/>
      <c r="E1165" s="2916">
        <f>'Part VIII Scoring Criteria'!E14</f>
        <v>0</v>
      </c>
      <c r="F1165" s="2913" t="str">
        <f>'Part VIII Scoring Criteria'!F14</f>
        <v>N/A to preservation application.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71.25">
      <c r="A1166" s="2913" t="s">
        <v>720</v>
      </c>
      <c r="B1166" s="2403" t="s">
        <v>3340</v>
      </c>
      <c r="C1166" s="2406"/>
      <c r="D1166" s="2406"/>
      <c r="E1166" s="2916">
        <f>'Part VIII Scoring Criteria'!E15</f>
        <v>0</v>
      </c>
      <c r="F1166" s="2913" t="str">
        <f>'Part VIII Scoring Criteria'!F15</f>
        <v>N/A to preservation application.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71.25">
      <c r="A1167" s="2913" t="s">
        <v>280</v>
      </c>
      <c r="B1167" s="2403" t="s">
        <v>3396</v>
      </c>
      <c r="C1167" s="2406"/>
      <c r="D1167" s="2406"/>
      <c r="E1167" s="2916">
        <f>'Part VIII Scoring Criteria'!E16</f>
        <v>0</v>
      </c>
      <c r="F1167" s="2913" t="str">
        <f>'Part VIII Scoring Criteria'!F16</f>
        <v>N/A to preservation application.</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71.25">
      <c r="A1168" s="2913" t="s">
        <v>401</v>
      </c>
      <c r="B1168" s="2403" t="s">
        <v>3397</v>
      </c>
      <c r="C1168" s="2406"/>
      <c r="D1168" s="2406"/>
      <c r="E1168" s="2914" t="str">
        <f>'Part VIII Scoring Criteria'!E17</f>
        <v>n/a</v>
      </c>
      <c r="F1168" s="2913" t="str">
        <f>'Part VIII Scoring Criteria'!F17</f>
        <v>N/A to preservation application.</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4040</v>
      </c>
      <c r="C1169" s="2406"/>
      <c r="D1169" s="2406"/>
      <c r="E1169" s="2914">
        <f>'Part VIII Scoring Criteria'!E18</f>
        <v>0</v>
      </c>
      <c r="F1169" s="2913" t="str">
        <f>'Part VIII Scoring Criteria'!F18</f>
        <v>N/A to preservation application.</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71.25">
      <c r="A1170" s="2913" t="s">
        <v>4042</v>
      </c>
      <c r="B1170" s="2403" t="s">
        <v>3263</v>
      </c>
      <c r="C1170" s="2406"/>
      <c r="D1170" s="2406"/>
      <c r="E1170" s="2914">
        <f>'Part VIII Scoring Criteria'!E19</f>
        <v>0</v>
      </c>
      <c r="F1170" s="2913" t="str">
        <f>'Part VIII Scoring Criteria'!F19</f>
        <v>N/A to preservation application.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71.25">
      <c r="A1171" s="2913" t="s">
        <v>4054</v>
      </c>
      <c r="B1171" s="2403" t="s">
        <v>4043</v>
      </c>
      <c r="C1171" s="2406"/>
      <c r="D1171" s="2406"/>
      <c r="E1171" s="2914">
        <f>'Part VIII Scoring Criteria'!E20</f>
        <v>0</v>
      </c>
      <c r="F1171" s="2913" t="str">
        <f>'Part VIII Scoring Criteria'!F20</f>
        <v>N/A to preservation application.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71.25">
      <c r="A1172" s="2913" t="s">
        <v>6244</v>
      </c>
      <c r="B1172" s="2403" t="s">
        <v>4044</v>
      </c>
      <c r="C1172" s="2406"/>
      <c r="D1172" s="2406"/>
      <c r="E1172" s="2914">
        <f>'Part VIII Scoring Criteria'!E21</f>
        <v>0</v>
      </c>
      <c r="F1172" s="2913" t="str">
        <f>'Part VIII Scoring Criteria'!F21</f>
        <v>N/A to preservation application.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57">
      <c r="A1173" s="2913" t="s">
        <v>6638</v>
      </c>
      <c r="B1173" s="2403" t="s">
        <v>6550</v>
      </c>
      <c r="C1173" s="2406"/>
      <c r="D1173" s="2406"/>
      <c r="E1173" s="2914">
        <f>'Part VIII Scoring Criteria'!E22</f>
        <v>0</v>
      </c>
      <c r="F1173" s="2913" t="str">
        <f>'Part VIII Scoring Criteria'!F22</f>
        <v>N/A for Other Metro projects.</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6640</v>
      </c>
      <c r="B1174" s="2403" t="s">
        <v>6639</v>
      </c>
      <c r="C1174" s="2406"/>
      <c r="D1174" s="2406"/>
      <c r="E1174" s="2914">
        <f>'Part VIII Scoring Criteria'!E23</f>
        <v>2</v>
      </c>
      <c r="F1174" s="2913" t="str">
        <f>'Part VIII Scoring Criteria'!F23</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3370</v>
      </c>
      <c r="B1175" s="2403" t="s">
        <v>6556</v>
      </c>
      <c r="C1175" s="2406"/>
      <c r="D1175" s="2406"/>
      <c r="E1175" s="2914">
        <f>'Part VIII Scoring Criteria'!E24</f>
        <v>2</v>
      </c>
      <c r="F1175" s="2913" t="str">
        <f>'Part VIII Scoring Criteria'!F24</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99.5">
      <c r="A1176" s="2913" t="s">
        <v>3374</v>
      </c>
      <c r="B1176" s="2403" t="s">
        <v>3398</v>
      </c>
      <c r="C1176" s="2406"/>
      <c r="D1176" s="2406"/>
      <c r="E1176" s="2914">
        <f>'Part VIII Scoring Criteria'!E25</f>
        <v>0</v>
      </c>
      <c r="F1176" s="2913" t="str">
        <f>'Part VIII Scoring Criteria'!F25</f>
        <v xml:space="preserve">The proposed development is not located within the boundaries of a GICH community.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3377</v>
      </c>
      <c r="B1177" s="2403" t="s">
        <v>3399</v>
      </c>
      <c r="C1177" s="2406"/>
      <c r="D1177" s="2406"/>
      <c r="E1177" s="2914">
        <f>'Part VIII Scoring Criteria'!E26</f>
        <v>1</v>
      </c>
      <c r="F1177" s="2913" t="str">
        <f>'Part VIII Scoring Criteria'!F26</f>
        <v xml:space="preserve">Applicant has received a commitment for up to $1,765,557 in historic tax credit equity as a source of favorable financing. This LOI has been provided as evidence, along with the approved Part 1, Part 2 and Part A.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356.25">
      <c r="A1178" s="2913" t="s">
        <v>3378</v>
      </c>
      <c r="B1178" s="2403" t="s">
        <v>3400</v>
      </c>
      <c r="C1178" s="2406"/>
      <c r="D1178" s="2406"/>
      <c r="E1178" s="2914">
        <f>'Part VIII Scoring Criteria'!E27</f>
        <v>0</v>
      </c>
      <c r="F1178" s="2913" t="str">
        <f>'Part VIII Scoring Criteria'!F27</f>
        <v>The structure is deemed historic through the approved NPS Historic Preservation Certification Application Part 1 is provided. The historic structure houses 100% of the total units.</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3380</v>
      </c>
      <c r="B1179" s="2403" t="s">
        <v>6637</v>
      </c>
      <c r="C1179" s="2406"/>
      <c r="D1179" s="2406"/>
      <c r="E1179" s="2914">
        <f>'Part VIII Scoring Criteria'!E28</f>
        <v>3</v>
      </c>
      <c r="F1179" s="2913" t="str">
        <f>'Part VIII Scoring Criteria'!F28</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3381</v>
      </c>
      <c r="B1180" s="2403" t="s">
        <v>6133</v>
      </c>
      <c r="C1180" s="2406"/>
      <c r="D1180" s="2406"/>
      <c r="E1180" s="2914">
        <f>'Part VIII Scoring Criteria'!E29</f>
        <v>6</v>
      </c>
      <c r="F1180" s="2913" t="str">
        <f>'Part VIII Scoring Criteria'!F29</f>
        <v xml:space="preserve">The property has had average monthly occupancy over the proceeding 24 months of greater than 95%. 24 months of rent rolls and a table has been provided as evidence.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356.25">
      <c r="A1181" s="2913" t="s">
        <v>3804</v>
      </c>
      <c r="B1181" s="2403" t="s">
        <v>6554</v>
      </c>
      <c r="C1181" s="2406"/>
      <c r="D1181" s="2406"/>
      <c r="E1181" s="2914">
        <f>'Part VIII Scoring Criteria'!E30</f>
        <v>4</v>
      </c>
      <c r="F1181" s="2913" t="str">
        <f>'Part VIII Scoring Criteria'!F30</f>
        <v>The property has a HUD Section 8 PBRA Contract that covers 202 units. A copy of the HUD PBRA contract has been provided in Section 02 and in Section 52.</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6557</v>
      </c>
      <c r="B1182" s="2403" t="s">
        <v>6555</v>
      </c>
      <c r="C1182" s="2406"/>
      <c r="D1182" s="2406"/>
      <c r="E1182" s="2914">
        <f>'Part VIII Scoring Criteria'!E31</f>
        <v>0</v>
      </c>
      <c r="F1182" s="2913" t="str">
        <f>'Part VIII Scoring Criteria'!F31</f>
        <v>The property was PIS in 2004 per the 8609s provided. Please note that no updated Cert of Occupancy was not issued as part of the 2004 renovation, as such the 8609 was provided in lieu of that document.</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6946</v>
      </c>
      <c r="B1185" s="4048"/>
      <c r="C1185" s="4048"/>
      <c r="D1185" s="4048"/>
      <c r="E1185" s="2397"/>
      <c r="F1185" s="2463" t="s">
        <v>6882</v>
      </c>
      <c r="G1185" s="2463"/>
      <c r="H1185" s="2463"/>
      <c r="I1185" s="2463"/>
      <c r="J1185" s="2198" t="s">
        <v>6141</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3806</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3809</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3808</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7014</v>
      </c>
      <c r="B1201" s="2463"/>
      <c r="C1201" s="2463"/>
      <c r="D1201" s="2463"/>
      <c r="E1201" s="2463"/>
      <c r="F1201" s="2312" t="s">
        <v>3179</v>
      </c>
      <c r="G1201" s="2463" t="s">
        <v>7015</v>
      </c>
      <c r="H1201" s="2463"/>
      <c r="I1201" s="2463"/>
      <c r="J1201" s="2312" t="s">
        <v>3179</v>
      </c>
      <c r="K1201" s="2923" t="s">
        <v>7016</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3819</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6647</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3814</v>
      </c>
      <c r="D1220" s="2199"/>
      <c r="E1220" s="2199"/>
      <c r="F1220" s="2199"/>
      <c r="G1220" s="2199" t="s">
        <v>3815</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3816</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1</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3369</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3281</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3242</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71.25">
      <c r="A1232" s="2406" t="str">
        <f>'Part VIII Scoring Criteria'!A81</f>
        <v>N/A to preservation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6265</v>
      </c>
      <c r="T1237" s="2939" t="s">
        <v>6146</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3328</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6672</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6673</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3239</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3240</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3242</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71.25">
      <c r="A1253" s="2406" t="str">
        <f>'Part VIII Scoring Criteria'!A102</f>
        <v>N/A to preservation application.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6150</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7022</v>
      </c>
      <c r="G1258" s="2962"/>
      <c r="H1258" s="2962" t="s">
        <v>7023</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6631</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3242</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71.25">
      <c r="A1268" s="2406" t="str">
        <f>'Part VIII Scoring Criteria'!A117</f>
        <v>N/A to preservation application.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3341</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6178</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6253</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3823</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3242</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71.25">
      <c r="A1288" s="2406" t="str">
        <f>'Part VIII Scoring Criteria'!A137</f>
        <v>N/A to preservation application.</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3342</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6254</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3675</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3242</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71.25">
      <c r="A1298" s="2406" t="str">
        <f>'Part VIII Scoring Criteria'!A147</f>
        <v>N/A to preservation application.</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3824</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6256</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6215</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6221</v>
      </c>
      <c r="D1309" s="2397"/>
      <c r="E1309" s="2977" t="s">
        <v>6220</v>
      </c>
      <c r="F1309" s="2977"/>
      <c r="G1309" s="2977"/>
      <c r="H1309" s="2977"/>
      <c r="I1309" s="2342" t="s">
        <v>6895</v>
      </c>
      <c r="J1309" s="2977" t="s">
        <v>6220</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6219</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6216</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6217</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3242</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71.25">
      <c r="A1316" s="2406" t="str">
        <f>'Part VIII Scoring Criteria'!A165</f>
        <v>N/A to preservation application.</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4036</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3959</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3814</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3343</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3264</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3265</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3242</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71.25">
      <c r="A1335" s="2406" t="str">
        <f>'Part VIII Scoring Criteria'!A184</f>
        <v>N/A to preservation application.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4038</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6258</v>
      </c>
      <c r="C1341" s="2403"/>
      <c r="D1341" s="2403"/>
      <c r="E1341" s="2403"/>
      <c r="F1341" s="2403"/>
      <c r="G1341" s="2342" t="s">
        <v>6859</v>
      </c>
      <c r="H1341" s="2397" t="s">
        <v>574</v>
      </c>
      <c r="I1341" s="2397"/>
      <c r="J1341" s="2397"/>
      <c r="K1341" s="2466" t="s">
        <v>6931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6259</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6260</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3242</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71.25">
      <c r="A1346" s="2406" t="str">
        <f>'Part VIII Scoring Criteria'!A195</f>
        <v>N/A to preservation application.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3962</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6268</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6269</v>
      </c>
      <c r="C1354" s="2397"/>
      <c r="D1354" s="2397"/>
      <c r="E1354" s="2400" t="s">
        <v>6231</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3242</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71.25">
      <c r="A1356" s="2406" t="str">
        <f>'Part VIII Scoring Criteria'!A205</f>
        <v>N/A to preservation application.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3</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6614</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6615</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6616</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3954</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3826</v>
      </c>
      <c r="C1368" s="2397"/>
      <c r="D1368" s="2199"/>
      <c r="E1368" s="2397"/>
      <c r="F1368" s="2397"/>
      <c r="G1368" s="2397"/>
      <c r="H1368" s="2199"/>
      <c r="I1368" s="2397"/>
      <c r="J1368" s="2397"/>
      <c r="K1368" s="2199"/>
      <c r="L1368" s="2928"/>
      <c r="M1368" s="2312">
        <v>1</v>
      </c>
      <c r="N1368" s="2468"/>
      <c r="O1368" s="2907">
        <f>'Part VIII Scoring Criteria'!O217</f>
        <v>0</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7029</v>
      </c>
      <c r="C1369" s="2406"/>
      <c r="D1369" s="2406"/>
      <c r="E1369" s="2406"/>
      <c r="F1369" s="2406"/>
      <c r="G1369" s="2406"/>
      <c r="H1369" s="2406"/>
      <c r="I1369" s="2406"/>
      <c r="J1369" s="2406"/>
      <c r="K1369" s="2406"/>
      <c r="L1369" s="2406"/>
      <c r="M1369" s="2312"/>
      <c r="N1369" s="2468"/>
      <c r="O1369" s="2396" t="str">
        <f>'Part VIII Scoring Criteria'!O218</f>
        <v>No</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3371</v>
      </c>
      <c r="B1374" s="2465" t="s">
        <v>6574</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3242</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57">
      <c r="A1379" s="2406" t="str">
        <f>'Part VIII Scoring Criteria'!A228</f>
        <v>N/A for Other Metro projects.</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3372</v>
      </c>
      <c r="B1384" s="2465" t="s">
        <v>6579</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6694</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6693</v>
      </c>
      <c r="D1387" s="2199"/>
      <c r="E1387" s="2199"/>
      <c r="F1387" s="2199"/>
      <c r="G1387" s="2199"/>
      <c r="H1387" s="2199"/>
      <c r="I1387" s="2199" t="str">
        <f>'Part VIII Scoring Criteria'!I236</f>
        <v>TBE</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6695</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6580</v>
      </c>
      <c r="C1392" s="2397"/>
      <c r="D1392" s="2404"/>
      <c r="E1392" s="2404"/>
      <c r="F1392" s="2397"/>
      <c r="G1392" s="2404" t="s">
        <v>6588</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6589</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6581</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3242</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3370</v>
      </c>
      <c r="B1404" s="2465" t="s">
        <v>6585</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6586</v>
      </c>
      <c r="C1405" s="2397"/>
      <c r="D1405" s="2404"/>
      <c r="E1405" s="2404" t="s">
        <v>6597</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6587</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3242</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3373</v>
      </c>
      <c r="B1413" s="2465" t="s">
        <v>3344</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3345</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3346</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3374</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3242</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99.5">
      <c r="A1426" s="2406" t="str">
        <f>'Part VIII Scoring Criteria'!A275</f>
        <v xml:space="preserve">The proposed development is not located within the boundaries of a GICH community.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3377</v>
      </c>
      <c r="B1431" s="2465" t="s">
        <v>3348</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3349</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3955</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1767660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6234</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3890</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1767660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6237</v>
      </c>
      <c r="J1448" s="2994">
        <f>'Part V-Revenues &amp; Expenses'!$P$67</f>
        <v>135</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6238</v>
      </c>
      <c r="J1449" s="2996">
        <f>IF(J1448=0,0,J1446/J1448)</f>
        <v>13093.777777777777</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2</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6239</v>
      </c>
      <c r="J1451" s="3000">
        <f>'Part VIII Scoring Criteria'!J300</f>
        <v>1</v>
      </c>
      <c r="K1451" s="3000"/>
      <c r="L1451" s="2198"/>
      <c r="M1451" s="3000">
        <f>'Part VIII Scoring Criteria'!M300</f>
        <v>0</v>
      </c>
      <c r="N1451" s="3000"/>
      <c r="O1451" s="3000"/>
      <c r="P1451" s="3000"/>
      <c r="Q1451" s="2397"/>
      <c r="R1451" s="2397"/>
      <c r="S1451" s="2997" t="s">
        <v>6146</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3242</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 xml:space="preserve">Applicant has received a commitment for up to $1,765,557 in historic tax credit equity as a source of favorable financing. This LOI has been provided as evidence, along with the approved Part 1, Part 2 and Part A.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3378</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Deemed historic via Ga DNRHPD approved NPS Part 1 Evaluation of Significance</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3956</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3957</v>
      </c>
      <c r="C1467" s="2403"/>
      <c r="D1467" s="2403"/>
      <c r="E1467" s="2403"/>
      <c r="F1467" s="2403"/>
      <c r="G1467" s="2403"/>
      <c r="H1467" s="2403"/>
      <c r="I1467" s="2403"/>
      <c r="J1467" s="2403"/>
      <c r="K1467" s="2403"/>
      <c r="L1467" s="2403"/>
      <c r="M1467" s="2402">
        <v>2</v>
      </c>
      <c r="N1467" s="2935"/>
      <c r="O1467" s="2396">
        <f>'Part VIII Scoring Criteria'!O316</f>
        <v>2</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3242</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356.25">
      <c r="A1469" s="2406" t="str">
        <f>'Part VIII Scoring Criteria'!A318</f>
        <v>The structure is deemed historic through the approved NPS Historic Preservation Certification Application Part 1 is provided. The historic structure houses 100% of the total units.</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3379</v>
      </c>
      <c r="B1474" s="2465" t="s">
        <v>4037</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5</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3380</v>
      </c>
      <c r="B1483" s="2465" t="s">
        <v>6606</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6608</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6609</v>
      </c>
      <c r="C1485" s="2438"/>
      <c r="D1485" s="2438"/>
      <c r="E1485" s="2438"/>
      <c r="F1485" s="2438"/>
      <c r="G1485" s="2199"/>
      <c r="H1485" s="2438"/>
      <c r="I1485" s="2438"/>
      <c r="J1485" s="2438"/>
      <c r="K1485" s="2438"/>
      <c r="L1485" s="2438"/>
      <c r="M1485" s="2312">
        <v>1</v>
      </c>
      <c r="N1485" s="3002"/>
      <c r="O1485" s="2396">
        <f>'Part VIII Scoring Criteria'!O334</f>
        <v>1</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6240</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6610</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3242</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3381</v>
      </c>
      <c r="B1496" s="2465" t="s">
        <v>6241</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3242</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370.5">
      <c r="A1498" s="2406" t="str">
        <f>'Part VIII Scoring Criteria'!A347</f>
        <v xml:space="preserve">The property has had average monthly occupancy over the proceeding 24 months of greater than 95%. 24 months of rent rolls and a table has been provided as evidence.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3382</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3804</v>
      </c>
      <c r="B1509" s="2465" t="s">
        <v>6612</v>
      </c>
      <c r="C1509" s="2199"/>
      <c r="D1509" s="2465"/>
      <c r="E1509" s="2199"/>
      <c r="F1509" s="2199"/>
      <c r="G1509" s="2199"/>
      <c r="H1509" s="2199"/>
      <c r="I1509" s="2199"/>
      <c r="J1509" s="2199"/>
      <c r="K1509" s="2199"/>
      <c r="L1509" s="2969"/>
      <c r="M1509" s="2500">
        <v>4</v>
      </c>
      <c r="N1509" s="2312"/>
      <c r="O1509" s="2396">
        <f>'Part VIII Scoring Criteria'!O358</f>
        <v>4</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3242</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356.25">
      <c r="A1511" s="2406" t="str">
        <f>'Part VIII Scoring Criteria'!A360</f>
        <v>The property has a HUD Section 8 PBRA Contract that covers 202 units. A copy of the HUD PBRA contract has been provided in Section 02 and in Section 52.</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6557</v>
      </c>
      <c r="B1516" s="2465" t="s">
        <v>6613</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6134</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6135</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3242</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09.5">
      <c r="A1520" s="2406" t="str">
        <f>'Part VIII Scoring Criteria'!A369</f>
        <v>The property was PIS in 2004 per the 8609s provided. Please note that no updated Cert of Occupancy was not issued as part of the 2004 renovation, as such the 8609 was provided in lieu of that document.</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6932</v>
      </c>
      <c r="E1527" s="2199"/>
      <c r="F1527" s="2199"/>
      <c r="G1527" s="2199" t="s">
        <v>6224</v>
      </c>
      <c r="H1527" s="2199"/>
      <c r="I1527" s="2199"/>
      <c r="J1527" s="2199" t="s">
        <v>575</v>
      </c>
      <c r="L1527" s="2342" t="s">
        <v>6933</v>
      </c>
      <c r="M1527" s="4048" t="s">
        <v>6943</v>
      </c>
      <c r="N1527" s="4048"/>
      <c r="O1527" s="4048"/>
      <c r="P1527" s="4048"/>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3242</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42.5">
      <c r="A1540" s="2406" t="str">
        <f>'Part VIII Scoring Criteria'!A389</f>
        <v>The proposed development is not elligible for these points.</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 xml:space="preserve">&lt;&lt;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9% tax credit allocation and the close of financing in the first quarter of 2024. Permit applications have undergone extensive review by the local building department and will be ready for issuance upon payment. The Project is working through the pre-construction phases with our Architect, DNA Architecture + Design, Inc. and our General Contractor, Choate Construction,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schedule of development activities and a detailed summary of the Project team is included in Applicant folder 51Tiebrkr.
</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in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The Project is located in the heart of Downtown Augusta at 744 Broad Street, Augusta, GA, 30901, and is listed on the National Register of Historic Places. The Project was originally constructed in 1923 as a downtown hotel with multiple site amenities. It was utilized as such until 1979 when it was converted into affordable housing. The Project was most recently renovated in 2004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Richmond Summit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Richmond Summit, the project could be in jeopardy of losing the current subsidy due to physical deficiencies, especially as the project ages over the next 10 years.  
Without a HUD Section 8 HAP Subsidy, residents would be responsible for paying their entire rent, up to 60% AMI limits, or $834 for a one-bedroom and $1,000 for a two-bedroom. Per the DCA Relocation Workbook, 30% of the average residents’ adjusted monthly income is $248, which represents the current amount that they pay for their apartment units. Residents would face a significant rent increase of $586 for a one-bedroom and $752 for a two-bedroom. Per the DCA Relocation Workbook, the residents at the Richmond Summit have an average adjusted household income of $9,902 or $825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99.6%. These properties have an average of 104 units each, this means that there are approximately 5 available affordable/subsidized units in the Augusta area. Should the affordable restrictions be eliminated at the Richmond Summit Apartments, there would be approximately 130 displaced residents from the Richmond Summit.
If the displaced residents were forced to look at comparable market rate housing, they would be facing an average rent of $1,038 for one-bedroom units and $1,210 for two-bedroom units (Market Study page 58).Per the DCA Relocation Workbook, the residents at the Richmond Summit Apartments have an average adjusted household income of $9,902 or $825 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Richmond Summit would be displaced from their unit and be unable to find comparable living arrangements absent the restrictions and subsidies that they currently enjoy. It is for these reasons that comparable affordable housing options truly do not exist in Augusta, GA.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3242</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f>'Part VIII Scoring Criteria'!A400</f>
        <v>0</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6564</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6565</v>
      </c>
      <c r="AZ1567" s="2198"/>
      <c r="BA1567" s="2198"/>
      <c r="BB1567" s="2198"/>
      <c r="BC1567" s="2198"/>
      <c r="BD1567" s="2198"/>
      <c r="BE1567" s="2198"/>
      <c r="BF1567" s="2198" t="s">
        <v>6566</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6138</v>
      </c>
      <c r="AC1569" s="2199"/>
      <c r="AD1569" s="2397"/>
      <c r="AE1569" s="2397"/>
      <c r="AF1569" s="2397"/>
      <c r="AG1569" s="2463" t="s">
        <v>6126</v>
      </c>
      <c r="AH1569" s="2463"/>
      <c r="AI1569" s="2463" t="s">
        <v>6507</v>
      </c>
      <c r="AJ1569" s="2463"/>
      <c r="AK1569" s="2463"/>
      <c r="AL1569" s="2463"/>
      <c r="AM1569" s="2463"/>
      <c r="AN1569" s="2405" t="s">
        <v>6139</v>
      </c>
      <c r="AO1569" s="2405"/>
      <c r="AP1569" s="2405"/>
      <c r="AQ1569" s="2405"/>
      <c r="AR1569" s="2397"/>
      <c r="AS1569" s="2466"/>
      <c r="AT1569" s="2465" t="s">
        <v>6138</v>
      </c>
      <c r="AU1569" s="2466"/>
      <c r="AV1569" s="2466"/>
      <c r="AW1569" s="2466"/>
      <c r="AX1569" s="2397"/>
      <c r="AY1569" s="2463" t="s">
        <v>6126</v>
      </c>
      <c r="AZ1569" s="2463"/>
      <c r="BA1569" s="2463" t="s">
        <v>6507</v>
      </c>
      <c r="BB1569" s="2463"/>
      <c r="BC1569" s="2463"/>
      <c r="BD1569" s="2463"/>
      <c r="BE1569" s="2463"/>
      <c r="BF1569" s="2463" t="s">
        <v>6126</v>
      </c>
      <c r="BG1569" s="2463"/>
      <c r="BH1569" s="2463" t="s">
        <v>6507</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6547</v>
      </c>
      <c r="AL1570" s="3006" t="s">
        <v>6548</v>
      </c>
      <c r="AM1570" s="3006" t="s">
        <v>6549</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6929</v>
      </c>
      <c r="BC1570" s="3006" t="s">
        <v>6547</v>
      </c>
      <c r="BD1570" s="3006" t="s">
        <v>6548</v>
      </c>
      <c r="BE1570" s="3006" t="s">
        <v>6549</v>
      </c>
      <c r="BF1570" s="3006">
        <v>0.09</v>
      </c>
      <c r="BG1570" s="3006">
        <v>0.04</v>
      </c>
      <c r="BH1570" s="3006">
        <v>0.04</v>
      </c>
      <c r="BI1570" s="3006" t="s">
        <v>6929</v>
      </c>
      <c r="BJ1570" s="3006" t="s">
        <v>6547</v>
      </c>
      <c r="BK1570" s="3006" t="s">
        <v>6548</v>
      </c>
      <c r="BL1570" s="3006" t="s">
        <v>6549</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6753</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6753</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6127</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6127</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6128</v>
      </c>
      <c r="AC1573" s="2397"/>
      <c r="AD1573" s="2397"/>
      <c r="AE1573" s="2397"/>
      <c r="AF1573" s="2397"/>
      <c r="AG1573" s="2959">
        <v>3</v>
      </c>
      <c r="AH1573" s="2959">
        <v>3</v>
      </c>
      <c r="AI1573" s="2959"/>
      <c r="AJ1573" s="2959"/>
      <c r="AK1573" s="2959"/>
      <c r="AL1573" s="2959"/>
      <c r="AM1573" s="2959"/>
      <c r="AN1573" s="2198" t="s">
        <v>6140</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6128</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3395</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3395</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3253</v>
      </c>
      <c r="P1575" s="2399"/>
      <c r="Q1575" s="2397"/>
      <c r="R1575" s="2397"/>
      <c r="S1575" s="2397"/>
      <c r="T1575" s="2397"/>
      <c r="U1575" s="2397"/>
      <c r="V1575" s="2397"/>
      <c r="W1575" s="2397"/>
      <c r="X1575" s="2397"/>
      <c r="Y1575" s="2397"/>
      <c r="Z1575" s="2397"/>
      <c r="AA1575" s="2468" t="s">
        <v>496</v>
      </c>
      <c r="AB1575" s="2199" t="s">
        <v>4039</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4039</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3340</v>
      </c>
      <c r="AC1576" s="2397"/>
      <c r="AD1576" s="2397"/>
      <c r="AE1576" s="2397"/>
      <c r="AF1576" s="2397"/>
      <c r="AG1576" s="2959">
        <v>3</v>
      </c>
      <c r="AH1576" s="2959">
        <v>2</v>
      </c>
      <c r="AI1576" s="2959"/>
      <c r="AJ1576" s="2959"/>
      <c r="AK1576" s="2959"/>
      <c r="AL1576" s="2959"/>
      <c r="AM1576" s="2959"/>
      <c r="AN1576" s="2198" t="s">
        <v>6563</v>
      </c>
      <c r="AO1576" s="2198"/>
      <c r="AP1576" s="2198"/>
      <c r="AQ1576" s="2198"/>
      <c r="AR1576" s="2397"/>
      <c r="AS1576" s="2468" t="s">
        <v>720</v>
      </c>
      <c r="AT1576" s="2199" t="s">
        <v>3340</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3396</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3396</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3397</v>
      </c>
      <c r="AC1578" s="2397"/>
      <c r="AD1578" s="2397"/>
      <c r="AE1578" s="2397"/>
      <c r="AF1578" s="2397"/>
      <c r="AG1578" s="2959">
        <v>3</v>
      </c>
      <c r="AH1578" s="2959"/>
      <c r="AI1578" s="2959"/>
      <c r="AJ1578" s="2959"/>
      <c r="AK1578" s="2959"/>
      <c r="AL1578" s="2959"/>
      <c r="AM1578" s="2959"/>
      <c r="AN1578" s="2199" t="s">
        <v>6558</v>
      </c>
      <c r="AO1578" s="2199"/>
      <c r="AP1578" s="2199"/>
      <c r="AQ1578" s="2312"/>
      <c r="AR1578" s="2397"/>
      <c r="AS1578" s="2468" t="s">
        <v>401</v>
      </c>
      <c r="AT1578" s="2199" t="s">
        <v>3397</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4040</v>
      </c>
      <c r="AC1579" s="2397"/>
      <c r="AD1579" s="2397"/>
      <c r="AE1579" s="2397"/>
      <c r="AF1579" s="2397"/>
      <c r="AG1579" s="2959">
        <v>10</v>
      </c>
      <c r="AH1579" s="2959">
        <v>5</v>
      </c>
      <c r="AI1579" s="2959"/>
      <c r="AJ1579" s="2959"/>
      <c r="AK1579" s="2959"/>
      <c r="AL1579" s="2959"/>
      <c r="AM1579" s="2959"/>
      <c r="AN1579" s="2199" t="s">
        <v>3308</v>
      </c>
      <c r="AO1579" s="2199"/>
      <c r="AP1579" s="2199"/>
      <c r="AQ1579" s="2312"/>
      <c r="AR1579" s="2397"/>
      <c r="AS1579" s="2468" t="s">
        <v>342</v>
      </c>
      <c r="AT1579" s="2199" t="s">
        <v>4040</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4065</v>
      </c>
      <c r="H1580" s="2397" t="s">
        <v>4066</v>
      </c>
      <c r="I1580" s="2402" t="s">
        <v>4064</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6129</v>
      </c>
      <c r="AC1580" s="2397"/>
      <c r="AD1580" s="2397"/>
      <c r="AE1580" s="2397"/>
      <c r="AF1580" s="2397"/>
      <c r="AG1580" s="2959">
        <v>1</v>
      </c>
      <c r="AH1580" s="2959"/>
      <c r="AI1580" s="2959"/>
      <c r="AJ1580" s="2959"/>
      <c r="AK1580" s="2959"/>
      <c r="AL1580" s="2959"/>
      <c r="AM1580" s="2959"/>
      <c r="AN1580" s="2199" t="s">
        <v>6144</v>
      </c>
      <c r="AO1580" s="2199"/>
      <c r="AP1580" s="2199"/>
      <c r="AQ1580" s="2312"/>
      <c r="AR1580" s="2397"/>
      <c r="AS1580" s="2468" t="s">
        <v>343</v>
      </c>
      <c r="AT1580" s="2199" t="s">
        <v>6129</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3251</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3263</v>
      </c>
      <c r="AC1581" s="2397"/>
      <c r="AD1581" s="2397"/>
      <c r="AE1581" s="2397"/>
      <c r="AF1581" s="2397"/>
      <c r="AG1581" s="2959">
        <v>10</v>
      </c>
      <c r="AH1581" s="2959">
        <v>5</v>
      </c>
      <c r="AI1581" s="2959"/>
      <c r="AJ1581" s="2959"/>
      <c r="AK1581" s="2959"/>
      <c r="AL1581" s="2959"/>
      <c r="AM1581" s="2959"/>
      <c r="AN1581" s="2199" t="s">
        <v>6513</v>
      </c>
      <c r="AO1581" s="2199"/>
      <c r="AP1581" s="2199" t="s">
        <v>6947</v>
      </c>
      <c r="AQ1581" s="2312" t="str">
        <f>'Part VIII Scoring Criteria'!AQ430</f>
        <v/>
      </c>
      <c r="AR1581" s="2397"/>
      <c r="AS1581" s="2468" t="s">
        <v>344</v>
      </c>
      <c r="AT1581" s="2199" t="s">
        <v>3263</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4068</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6130</v>
      </c>
      <c r="AC1582" s="2397"/>
      <c r="AD1582" s="2397"/>
      <c r="AE1582" s="2397"/>
      <c r="AF1582" s="2397"/>
      <c r="AG1582" s="2959">
        <v>3</v>
      </c>
      <c r="AH1582" s="2959"/>
      <c r="AI1582" s="2959"/>
      <c r="AJ1582" s="2959"/>
      <c r="AK1582" s="2959"/>
      <c r="AL1582" s="2959"/>
      <c r="AM1582" s="2959"/>
      <c r="AO1582" s="2199"/>
      <c r="AP1582" s="2400" t="s">
        <v>6143</v>
      </c>
      <c r="AQ1582" s="2312" t="str">
        <f>'Part VIII Scoring Criteria'!AQ431</f>
        <v/>
      </c>
      <c r="AR1582" s="2397"/>
      <c r="AS1582" s="2468" t="s">
        <v>1604</v>
      </c>
      <c r="AT1582" s="2199" t="s">
        <v>6130</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4067</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3371</v>
      </c>
      <c r="AB1583" s="2199" t="s">
        <v>4044</v>
      </c>
      <c r="AC1583" s="2397"/>
      <c r="AD1583" s="2397"/>
      <c r="AE1583" s="2397"/>
      <c r="AF1583" s="2397"/>
      <c r="AG1583" s="2959">
        <v>5</v>
      </c>
      <c r="AH1583" s="2959"/>
      <c r="AI1583" s="2959"/>
      <c r="AJ1583" s="2959"/>
      <c r="AK1583" s="2959"/>
      <c r="AL1583" s="2959"/>
      <c r="AM1583" s="2959"/>
      <c r="AN1583" s="2199"/>
      <c r="AO1583" s="2199"/>
      <c r="AP1583" s="2400" t="s">
        <v>6559</v>
      </c>
      <c r="AQ1583" s="2312" t="str">
        <f>'Part VIII Scoring Criteria'!AQ432</f>
        <v>Yes</v>
      </c>
      <c r="AR1583" s="2397"/>
      <c r="AS1583" s="2468" t="s">
        <v>3371</v>
      </c>
      <c r="AT1583" s="2199" t="s">
        <v>4044</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3805</v>
      </c>
      <c r="AC1584" s="2397"/>
      <c r="AD1584" s="2397"/>
      <c r="AE1584" s="2397"/>
      <c r="AF1584" s="2397"/>
      <c r="AG1584" s="2959">
        <v>4</v>
      </c>
      <c r="AH1584" s="2959">
        <v>4</v>
      </c>
      <c r="AI1584" s="2959">
        <v>4</v>
      </c>
      <c r="AJ1584" s="2959">
        <v>4</v>
      </c>
      <c r="AK1584" s="2959">
        <v>4</v>
      </c>
      <c r="AL1584" s="2959">
        <v>4</v>
      </c>
      <c r="AM1584" s="2959">
        <v>4</v>
      </c>
      <c r="AN1584" s="2199"/>
      <c r="AO1584" s="2199"/>
      <c r="AP1584" s="2400" t="s">
        <v>6560</v>
      </c>
      <c r="AQ1584" s="2312" t="str">
        <f>'Part VIII Scoring Criteria'!AQ433</f>
        <v>Yes</v>
      </c>
      <c r="AR1584" s="2397"/>
      <c r="AS1584" s="2468" t="s">
        <v>2080</v>
      </c>
      <c r="AT1584" s="2199" t="s">
        <v>3805</v>
      </c>
      <c r="AU1584" s="2397"/>
      <c r="AV1584" s="2397"/>
      <c r="AW1584" s="2397"/>
      <c r="AX1584" s="2397"/>
      <c r="AY1584" s="3007">
        <f>O1361</f>
        <v>3</v>
      </c>
      <c r="AZ1584" s="3007">
        <f>O1361</f>
        <v>3</v>
      </c>
      <c r="BA1584" s="3007">
        <f>O1361</f>
        <v>3</v>
      </c>
      <c r="BB1584" s="3007">
        <f>O1361</f>
        <v>3</v>
      </c>
      <c r="BC1584" s="3007">
        <f>O1361</f>
        <v>3</v>
      </c>
      <c r="BD1584" s="3007">
        <f>O1361</f>
        <v>3</v>
      </c>
      <c r="BE1584" s="3007">
        <f>O1361</f>
        <v>3</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4067</v>
      </c>
      <c r="J1585" s="2397" t="s">
        <v>3252</v>
      </c>
      <c r="K1585" s="2397"/>
      <c r="L1585" s="2403"/>
      <c r="M1585" s="2397"/>
      <c r="N1585" s="2342"/>
      <c r="O1585" s="2399">
        <v>1</v>
      </c>
      <c r="P1585" s="2399"/>
      <c r="Q1585" s="2397"/>
      <c r="R1585" s="2397"/>
      <c r="S1585" s="2397"/>
      <c r="T1585" s="2397"/>
      <c r="U1585" s="2397"/>
      <c r="V1585" s="2397"/>
      <c r="W1585" s="2397"/>
      <c r="X1585" s="2397"/>
      <c r="Y1585" s="2397"/>
      <c r="Z1585" s="2397"/>
      <c r="AA1585" s="2468" t="s">
        <v>3371</v>
      </c>
      <c r="AB1585" s="2199" t="s">
        <v>6550</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3371</v>
      </c>
      <c r="AT1585" s="2199" t="s">
        <v>6550</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3274</v>
      </c>
      <c r="H1586" s="2342">
        <v>2019</v>
      </c>
      <c r="I1586" s="2342" t="s">
        <v>4067</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3372</v>
      </c>
      <c r="AB1586" s="2199" t="s">
        <v>6551</v>
      </c>
      <c r="AC1586" s="2397"/>
      <c r="AD1586" s="2397"/>
      <c r="AE1586" s="2397"/>
      <c r="AF1586" s="2397"/>
      <c r="AG1586" s="2959">
        <v>2</v>
      </c>
      <c r="AH1586" s="2959">
        <v>2</v>
      </c>
      <c r="AI1586" s="2959">
        <v>2</v>
      </c>
      <c r="AJ1586" s="2959">
        <v>2</v>
      </c>
      <c r="AK1586" s="2959">
        <v>2</v>
      </c>
      <c r="AL1586" s="2959">
        <v>2</v>
      </c>
      <c r="AM1586" s="2959">
        <v>2</v>
      </c>
      <c r="AN1586" s="2199" t="s">
        <v>6561</v>
      </c>
      <c r="AO1586" s="2199"/>
      <c r="AP1586" s="2199"/>
      <c r="AQ1586" s="2312"/>
      <c r="AR1586" s="2397"/>
      <c r="AS1586" s="2468" t="s">
        <v>3372</v>
      </c>
      <c r="AT1586" s="2199" t="s">
        <v>6551</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3370</v>
      </c>
      <c r="AB1587" s="2199" t="s">
        <v>6556</v>
      </c>
      <c r="AC1587" s="2397"/>
      <c r="AD1587" s="2397"/>
      <c r="AE1587" s="2397"/>
      <c r="AF1587" s="2397"/>
      <c r="AG1587" s="2959">
        <v>2</v>
      </c>
      <c r="AH1587" s="2959"/>
      <c r="AI1587" s="2959"/>
      <c r="AJ1587" s="2959"/>
      <c r="AK1587" s="2959">
        <v>2</v>
      </c>
      <c r="AL1587" s="2959">
        <v>2</v>
      </c>
      <c r="AM1587" s="2959">
        <v>2</v>
      </c>
      <c r="AN1587" s="2199" t="s">
        <v>6562</v>
      </c>
      <c r="AO1587" s="2199"/>
      <c r="AP1587" s="2199"/>
      <c r="AQ1587" s="2500" t="str">
        <f>'Part II-Sources of Funds'!$L$14</f>
        <v>No</v>
      </c>
      <c r="AR1587" s="2397"/>
      <c r="AS1587" s="2468" t="s">
        <v>3370</v>
      </c>
      <c r="AT1587" s="2199" t="s">
        <v>6556</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4067</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3373</v>
      </c>
      <c r="AB1588" s="2199" t="s">
        <v>6131</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3373</v>
      </c>
      <c r="AT1588" s="2199" t="s">
        <v>6131</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4068</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3374</v>
      </c>
      <c r="AB1589" s="2199" t="s">
        <v>3398</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3374</v>
      </c>
      <c r="AT1589" s="2199" t="s">
        <v>3398</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4068</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3377</v>
      </c>
      <c r="AB1590" s="2199" t="s">
        <v>3399</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3377</v>
      </c>
      <c r="AT1590" s="2199" t="s">
        <v>3399</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4067</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3378</v>
      </c>
      <c r="AB1591" s="2199" t="s">
        <v>3400</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3378</v>
      </c>
      <c r="AT1591" s="2199" t="s">
        <v>3400</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4068</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3379</v>
      </c>
      <c r="AB1592" s="2199" t="s">
        <v>6132</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3379</v>
      </c>
      <c r="AT1592" s="2199" t="s">
        <v>6132</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4067</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3380</v>
      </c>
      <c r="AB1593" s="2199" t="s">
        <v>6552</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3380</v>
      </c>
      <c r="AT1593" s="2199" t="s">
        <v>6552</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4067</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3381</v>
      </c>
      <c r="AB1594" s="2199" t="s">
        <v>6133</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3381</v>
      </c>
      <c r="AT1594" s="2199" t="s">
        <v>6133</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4067</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3382</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3382</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4067</v>
      </c>
      <c r="J1596" s="2405" t="s">
        <v>3262</v>
      </c>
      <c r="K1596" s="2397"/>
      <c r="L1596" s="2403"/>
      <c r="M1596" s="2397"/>
      <c r="N1596" s="2342"/>
      <c r="O1596" s="2399"/>
      <c r="P1596" s="2399"/>
      <c r="Q1596" s="2397"/>
      <c r="R1596" s="2397"/>
      <c r="S1596" s="2397"/>
      <c r="T1596" s="2397"/>
      <c r="U1596" s="2397"/>
      <c r="V1596" s="2397"/>
      <c r="W1596" s="2397"/>
      <c r="X1596" s="2397"/>
      <c r="Y1596" s="2397"/>
      <c r="Z1596" s="2397"/>
      <c r="AA1596" s="2468" t="s">
        <v>3804</v>
      </c>
      <c r="AB1596" s="2199" t="s">
        <v>6554</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3804</v>
      </c>
      <c r="AT1596" s="2199" t="s">
        <v>6554</v>
      </c>
      <c r="AU1596" s="2397"/>
      <c r="AV1596" s="2397"/>
      <c r="AW1596" s="2397"/>
      <c r="AX1596" s="2397"/>
      <c r="AY1596" s="2959"/>
      <c r="AZ1596" s="2959"/>
      <c r="BA1596" s="3007">
        <f>O1509</f>
        <v>4</v>
      </c>
      <c r="BB1596" s="3007">
        <f>O1509</f>
        <v>4</v>
      </c>
      <c r="BC1596" s="3007">
        <f>O1509</f>
        <v>4</v>
      </c>
      <c r="BD1596" s="3007">
        <f>O1509</f>
        <v>4</v>
      </c>
      <c r="BE1596" s="3007">
        <f>O1509</f>
        <v>4</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4067</v>
      </c>
      <c r="J1597" s="2397" t="s">
        <v>3338</v>
      </c>
      <c r="K1597" s="2397"/>
      <c r="L1597" s="2403"/>
      <c r="M1597" s="2397"/>
      <c r="N1597" s="2342"/>
      <c r="O1597" s="2399"/>
      <c r="P1597" s="2399"/>
      <c r="Q1597" s="2397"/>
      <c r="R1597" s="2397"/>
      <c r="S1597" s="2397"/>
      <c r="T1597" s="2397"/>
      <c r="U1597" s="2397"/>
      <c r="V1597" s="2397"/>
      <c r="W1597" s="2397"/>
      <c r="X1597" s="2397"/>
      <c r="Y1597" s="2397"/>
      <c r="Z1597" s="2397"/>
      <c r="AA1597" s="2468" t="s">
        <v>6557</v>
      </c>
      <c r="AB1597" s="2199" t="s">
        <v>6555</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6557</v>
      </c>
      <c r="AT1597" s="2199" t="s">
        <v>6555</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4067</v>
      </c>
      <c r="J1598" s="2397" t="s">
        <v>3333</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4067</v>
      </c>
      <c r="J1599" s="2397" t="s">
        <v>3255</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4068</v>
      </c>
      <c r="I1600" s="2402" t="s">
        <v>2453</v>
      </c>
      <c r="J1600" s="2397" t="s">
        <v>3329</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6245</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31</v>
      </c>
      <c r="AZ1600" s="2542">
        <f>'Part VIII Scoring Criteria'!AZ449</f>
        <v>29</v>
      </c>
      <c r="BA1600" s="2542">
        <f>'Part VIII Scoring Criteria'!BA449</f>
        <v>39</v>
      </c>
      <c r="BB1600" s="2542">
        <f>'Part VIII Scoring Criteria'!BB449</f>
        <v>39</v>
      </c>
      <c r="BC1600" s="2542">
        <f>'Part VIII Scoring Criteria'!BC449</f>
        <v>41</v>
      </c>
      <c r="BD1600" s="2542">
        <f>'Part VIII Scoring Criteria'!BD449</f>
        <v>41</v>
      </c>
      <c r="BE1600" s="2542">
        <f>'Part VIII Scoring Criteria'!BE449</f>
        <v>41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4067</v>
      </c>
      <c r="J1601" s="2397" t="s">
        <v>3256</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4067</v>
      </c>
      <c r="J1602" s="2397" t="s">
        <v>3330</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4067</v>
      </c>
      <c r="J1603" s="2397" t="s">
        <v>3257</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3347</v>
      </c>
      <c r="H1604" s="2342" t="s">
        <v>4068</v>
      </c>
      <c r="I1604" s="2402" t="s">
        <v>2453</v>
      </c>
      <c r="J1604" s="2397" t="s">
        <v>3331</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4067</v>
      </c>
      <c r="J1605" s="2397" t="s">
        <v>3334</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4067</v>
      </c>
      <c r="J1606" s="2397" t="s">
        <v>3337</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4068</v>
      </c>
      <c r="I1607" s="2402" t="s">
        <v>2453</v>
      </c>
      <c r="J1607" s="2397" t="s">
        <v>3258</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4068</v>
      </c>
      <c r="I1608" s="2402" t="s">
        <v>2453</v>
      </c>
      <c r="J1608" s="2397" t="s">
        <v>3259</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4067</v>
      </c>
      <c r="J1609" s="2397" t="s">
        <v>3332</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4067</v>
      </c>
      <c r="J1610" s="2397" t="s">
        <v>3335</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4067</v>
      </c>
      <c r="J1611" s="2397" t="s">
        <v>3336</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4067</v>
      </c>
      <c r="J1612" s="2397" t="s">
        <v>3260</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4067</v>
      </c>
      <c r="J1613" s="2397" t="s">
        <v>3261</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4062</v>
      </c>
      <c r="H1614" s="2342" t="s">
        <v>4068</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4068</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4068</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4068</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4067</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4067</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4067</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4063</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4067</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4067</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4067</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4067</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4067</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4067</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4067</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4068</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80" zoomScaleNormal="80" workbookViewId="0">
      <selection activeCell="N22" sqref="N22:O22"/>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Richmond Summit, Augusta, Richmond County</v>
      </c>
      <c r="B2" s="3167"/>
      <c r="C2" s="3167"/>
      <c r="D2" s="3167"/>
      <c r="E2" s="3167"/>
      <c r="F2" s="3167"/>
      <c r="G2" s="3167"/>
      <c r="H2" s="3167"/>
      <c r="I2" s="3167"/>
      <c r="J2" s="3167"/>
      <c r="K2" s="3167"/>
      <c r="L2" s="3167"/>
      <c r="M2" s="3167"/>
      <c r="N2" s="3167"/>
      <c r="O2" s="3167"/>
      <c r="P2" s="3167"/>
      <c r="Q2" s="3168"/>
      <c r="S2" s="3286" t="str">
        <f>$A$2</f>
        <v>PART TWO - SOURCES OF FUNDS (Proposed)  -  2023-0 Richmond Summit, Augusta, Richmond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6081</v>
      </c>
      <c r="G6" s="144"/>
      <c r="I6" s="3290"/>
      <c r="J6" s="3291"/>
      <c r="L6" s="1232" t="s">
        <v>2652</v>
      </c>
      <c r="M6" s="224" t="s">
        <v>1437</v>
      </c>
      <c r="Q6" s="1620"/>
      <c r="S6" s="3233"/>
      <c r="T6" s="3234"/>
      <c r="Y6" s="1742"/>
      <c r="Z6" s="1706">
        <v>6</v>
      </c>
      <c r="AZ6" s="1676"/>
    </row>
    <row r="7" spans="1:52" s="223" customFormat="1" ht="16.5" customHeight="1">
      <c r="A7" s="375"/>
      <c r="B7" s="823" t="s">
        <v>2649</v>
      </c>
      <c r="C7" s="224" t="s">
        <v>3878</v>
      </c>
      <c r="D7" s="144"/>
      <c r="E7" s="818" t="s">
        <v>2652</v>
      </c>
      <c r="F7" s="224" t="s">
        <v>6082</v>
      </c>
      <c r="I7" s="3292"/>
      <c r="J7" s="3293"/>
      <c r="L7" s="823" t="s">
        <v>2652</v>
      </c>
      <c r="M7" s="224" t="s">
        <v>514</v>
      </c>
      <c r="P7" s="1620"/>
      <c r="Q7" s="1620"/>
      <c r="S7" s="3194"/>
      <c r="T7" s="3195"/>
      <c r="Y7" s="1742"/>
      <c r="Z7" s="1706">
        <v>7</v>
      </c>
      <c r="AZ7" s="1676"/>
    </row>
    <row r="8" spans="1:52" s="223" customFormat="1" ht="16.5" customHeight="1">
      <c r="A8" s="144"/>
      <c r="B8" s="823" t="s">
        <v>2652</v>
      </c>
      <c r="C8" s="224" t="s">
        <v>6662</v>
      </c>
      <c r="F8" s="223" t="s">
        <v>6665</v>
      </c>
      <c r="H8" s="3304" t="s">
        <v>3065</v>
      </c>
      <c r="I8" s="3305"/>
      <c r="J8" s="3306"/>
      <c r="L8" s="823" t="s">
        <v>2652</v>
      </c>
      <c r="M8" s="224" t="s">
        <v>6667</v>
      </c>
      <c r="P8" s="1620"/>
      <c r="Q8" s="1620"/>
      <c r="S8" s="3194"/>
      <c r="T8" s="3195"/>
      <c r="Y8" s="1742"/>
      <c r="Z8" s="1706">
        <v>8</v>
      </c>
      <c r="AZ8" s="1676"/>
    </row>
    <row r="9" spans="1:52" s="223" customFormat="1" ht="16.5" customHeight="1">
      <c r="A9" s="375"/>
      <c r="B9" s="823" t="s">
        <v>2652</v>
      </c>
      <c r="C9" s="223" t="s">
        <v>3302</v>
      </c>
      <c r="E9" s="1235" t="s">
        <v>2652</v>
      </c>
      <c r="F9" s="3296" t="s">
        <v>6661</v>
      </c>
      <c r="G9" s="3297"/>
      <c r="H9" s="3294"/>
      <c r="I9" s="3294"/>
      <c r="J9" s="3295"/>
      <c r="L9" s="823" t="s">
        <v>2652</v>
      </c>
      <c r="M9" s="224" t="s">
        <v>3879</v>
      </c>
      <c r="Q9" s="1620"/>
      <c r="S9" s="3196"/>
      <c r="T9" s="3197"/>
      <c r="Y9" s="1742"/>
      <c r="Z9" s="1706">
        <v>9</v>
      </c>
      <c r="AZ9" s="1676"/>
    </row>
    <row r="10" spans="1:52" s="223" customFormat="1" ht="16.5" customHeight="1">
      <c r="A10" s="375"/>
      <c r="B10" s="823" t="s">
        <v>2652</v>
      </c>
      <c r="C10" s="224" t="s">
        <v>2394</v>
      </c>
      <c r="F10" s="3298" t="s">
        <v>3771</v>
      </c>
      <c r="G10" s="3299"/>
      <c r="H10" s="3299"/>
      <c r="I10" s="3299"/>
      <c r="J10" s="3300"/>
      <c r="L10" s="823" t="s">
        <v>2652</v>
      </c>
      <c r="M10" s="224" t="s">
        <v>3193</v>
      </c>
      <c r="P10" s="1620"/>
      <c r="Q10" s="1620"/>
      <c r="S10" s="3233"/>
      <c r="T10" s="3234"/>
      <c r="Y10" s="1742"/>
      <c r="Z10" s="1706">
        <v>10</v>
      </c>
      <c r="AZ10" s="1676"/>
    </row>
    <row r="11" spans="1:52" s="223" customFormat="1" ht="16.5" customHeight="1">
      <c r="A11" s="375"/>
      <c r="B11" s="823" t="s">
        <v>2652</v>
      </c>
      <c r="C11" s="224" t="s">
        <v>2395</v>
      </c>
      <c r="E11" s="1235" t="s">
        <v>2652</v>
      </c>
      <c r="F11" s="3294" t="s">
        <v>6663</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3194</v>
      </c>
      <c r="F12" s="3287" t="s">
        <v>3772</v>
      </c>
      <c r="G12" s="3288"/>
      <c r="H12" s="3307"/>
      <c r="I12" s="3307"/>
      <c r="J12" s="3308"/>
      <c r="L12" s="823" t="s">
        <v>2652</v>
      </c>
      <c r="M12" s="223" t="s">
        <v>3220</v>
      </c>
      <c r="S12" s="3194"/>
      <c r="T12" s="3195"/>
      <c r="Y12" s="1742"/>
      <c r="Z12" s="1706">
        <v>12</v>
      </c>
      <c r="AZ12" s="1676"/>
    </row>
    <row r="13" spans="1:52" s="223" customFormat="1" ht="16.5" customHeight="1">
      <c r="A13" s="375"/>
      <c r="B13" s="823" t="s">
        <v>2649</v>
      </c>
      <c r="C13" s="224" t="s">
        <v>6664</v>
      </c>
      <c r="E13" s="1232" t="s">
        <v>2652</v>
      </c>
      <c r="F13" s="224" t="s">
        <v>6666</v>
      </c>
      <c r="H13" s="3287" t="s">
        <v>3293</v>
      </c>
      <c r="I13" s="3288"/>
      <c r="J13" s="3289"/>
      <c r="L13" s="823" t="s">
        <v>2652</v>
      </c>
      <c r="M13" s="223" t="s">
        <v>6080</v>
      </c>
      <c r="S13" s="3194"/>
      <c r="T13" s="3195"/>
      <c r="Y13" s="1742"/>
      <c r="Z13" s="1706">
        <v>13</v>
      </c>
      <c r="AZ13" s="1676"/>
    </row>
    <row r="14" spans="1:52" s="223" customFormat="1" ht="16.5" customHeight="1">
      <c r="A14" s="375"/>
      <c r="B14" s="823" t="s">
        <v>2652</v>
      </c>
      <c r="C14" s="223" t="s">
        <v>2397</v>
      </c>
      <c r="E14" s="823" t="s">
        <v>2652</v>
      </c>
      <c r="F14" s="224" t="s">
        <v>3301</v>
      </c>
      <c r="L14" s="823" t="s">
        <v>2652</v>
      </c>
      <c r="M14" s="223" t="s">
        <v>6712</v>
      </c>
      <c r="S14" s="3196"/>
      <c r="T14" s="3197"/>
      <c r="Y14" s="1742"/>
      <c r="Z14" s="1706">
        <v>14</v>
      </c>
      <c r="AZ14" s="1676"/>
    </row>
    <row r="15" spans="1:52" s="223" customFormat="1" ht="16.5" customHeight="1">
      <c r="A15" s="375"/>
      <c r="B15" s="823" t="s">
        <v>2652</v>
      </c>
      <c r="C15" s="223" t="s">
        <v>3219</v>
      </c>
      <c r="E15" s="823" t="s">
        <v>2652</v>
      </c>
      <c r="F15" s="224" t="s">
        <v>6083</v>
      </c>
      <c r="L15" s="823" t="s">
        <v>2652</v>
      </c>
      <c r="M15" s="1621" t="s">
        <v>6084</v>
      </c>
      <c r="Y15" s="1742"/>
      <c r="Z15" s="1706">
        <v>15</v>
      </c>
      <c r="AZ15" s="1676"/>
    </row>
    <row r="16" spans="1:52" s="223" customFormat="1" ht="16.5" customHeight="1">
      <c r="A16" s="375"/>
      <c r="B16" s="818" t="s">
        <v>2652</v>
      </c>
      <c r="C16" s="224" t="s">
        <v>1673</v>
      </c>
      <c r="E16" s="818" t="s">
        <v>2652</v>
      </c>
      <c r="F16" s="224" t="s">
        <v>6501</v>
      </c>
      <c r="I16" s="3309"/>
      <c r="J16" s="3310"/>
      <c r="L16" s="818" t="s">
        <v>2652</v>
      </c>
      <c r="M16" s="1621" t="s">
        <v>6079</v>
      </c>
      <c r="Y16" s="1742"/>
      <c r="Z16" s="1706">
        <v>16</v>
      </c>
      <c r="AZ16" s="1676"/>
    </row>
    <row r="17" spans="1:52" s="223" customFormat="1" ht="17.100000000000001"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3846</v>
      </c>
      <c r="M21" s="3246"/>
      <c r="N21" s="3246" t="s">
        <v>1410</v>
      </c>
      <c r="O21" s="3246"/>
      <c r="P21" s="3246" t="s">
        <v>1523</v>
      </c>
      <c r="Q21" s="3246"/>
      <c r="S21" s="3247" t="s">
        <v>2448</v>
      </c>
      <c r="T21" s="3247"/>
      <c r="Y21" s="1742"/>
      <c r="Z21" s="1706">
        <v>21</v>
      </c>
      <c r="AZ21" s="1676" t="s">
        <v>6342</v>
      </c>
    </row>
    <row r="22" spans="1:52" s="223" customFormat="1" ht="15.75" customHeight="1">
      <c r="A22" s="144"/>
      <c r="B22" s="3250" t="s">
        <v>1486</v>
      </c>
      <c r="C22" s="3251"/>
      <c r="D22" s="3251"/>
      <c r="E22" s="821"/>
      <c r="F22" s="821"/>
      <c r="G22" s="821"/>
      <c r="H22" s="3219" t="s">
        <v>7042</v>
      </c>
      <c r="I22" s="3220"/>
      <c r="J22" s="3220"/>
      <c r="K22" s="3221"/>
      <c r="L22" s="3269">
        <v>24350000</v>
      </c>
      <c r="M22" s="3270"/>
      <c r="N22" s="3271">
        <v>0.05</v>
      </c>
      <c r="O22" s="3272"/>
      <c r="P22" s="3273">
        <v>36</v>
      </c>
      <c r="Q22" s="3274"/>
      <c r="S22" s="3233"/>
      <c r="T22" s="3234"/>
      <c r="Y22" s="1742" t="s">
        <v>6342</v>
      </c>
      <c r="Z22" s="1706">
        <v>22</v>
      </c>
      <c r="AZ22" s="1676" t="s">
        <v>6343</v>
      </c>
    </row>
    <row r="23" spans="1:52" s="223" customFormat="1" ht="15.75" customHeight="1">
      <c r="A23" s="144"/>
      <c r="B23" s="3235" t="s">
        <v>1487</v>
      </c>
      <c r="C23" s="3236"/>
      <c r="D23" s="3236"/>
      <c r="E23" s="144"/>
      <c r="F23" s="144"/>
      <c r="G23" s="144"/>
      <c r="H23" s="3181"/>
      <c r="I23" s="3182"/>
      <c r="J23" s="3182"/>
      <c r="K23" s="3183"/>
      <c r="L23" s="3257"/>
      <c r="M23" s="3258"/>
      <c r="N23" s="3280"/>
      <c r="O23" s="3281"/>
      <c r="P23" s="3282"/>
      <c r="Q23" s="3283"/>
      <c r="S23" s="3194"/>
      <c r="T23" s="3195"/>
      <c r="Y23" s="1742" t="s">
        <v>6343</v>
      </c>
      <c r="Z23" s="1706">
        <v>23</v>
      </c>
      <c r="AZ23" s="1676" t="s">
        <v>6344</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6344</v>
      </c>
      <c r="Z24" s="1706">
        <v>24</v>
      </c>
      <c r="AZ24" s="1676" t="s">
        <v>6345</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6345</v>
      </c>
      <c r="Z25" s="1706">
        <v>25</v>
      </c>
      <c r="AZ25" s="1676" t="s">
        <v>6346</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6346</v>
      </c>
      <c r="Z26" s="1706">
        <v>26</v>
      </c>
      <c r="AZ26" s="1676" t="s">
        <v>6347</v>
      </c>
    </row>
    <row r="27" spans="1:52" s="223" customFormat="1" ht="15.75" customHeight="1">
      <c r="A27" s="144"/>
      <c r="B27" s="3235" t="s">
        <v>595</v>
      </c>
      <c r="C27" s="3236"/>
      <c r="D27" s="3236"/>
      <c r="E27" s="144"/>
      <c r="H27" s="3181" t="s">
        <v>7045</v>
      </c>
      <c r="I27" s="3182"/>
      <c r="J27" s="3182"/>
      <c r="K27" s="3183"/>
      <c r="L27" s="3257">
        <v>910818</v>
      </c>
      <c r="M27" s="3258"/>
      <c r="N27" s="3259"/>
      <c r="O27" s="3260"/>
      <c r="P27" s="3242"/>
      <c r="Q27" s="3242"/>
      <c r="S27" s="3194"/>
      <c r="T27" s="3195"/>
      <c r="Y27" s="1742" t="s">
        <v>6347</v>
      </c>
      <c r="Z27" s="1706">
        <v>27</v>
      </c>
      <c r="AZ27" s="1676" t="s">
        <v>6348</v>
      </c>
    </row>
    <row r="28" spans="1:52" s="223" customFormat="1" ht="15.75" customHeight="1">
      <c r="A28" s="144"/>
      <c r="B28" s="3235" t="s">
        <v>746</v>
      </c>
      <c r="C28" s="3236"/>
      <c r="D28" s="3236"/>
      <c r="E28" s="144"/>
      <c r="H28" s="3181" t="s">
        <v>7105</v>
      </c>
      <c r="I28" s="3182"/>
      <c r="J28" s="3182"/>
      <c r="K28" s="3183"/>
      <c r="L28" s="3257">
        <v>2381028.7284694491</v>
      </c>
      <c r="M28" s="3258"/>
      <c r="N28" s="144"/>
      <c r="Q28" s="144"/>
      <c r="S28" s="3196"/>
      <c r="T28" s="3197"/>
      <c r="Y28" s="1742" t="s">
        <v>6348</v>
      </c>
      <c r="Z28" s="1706">
        <v>28</v>
      </c>
      <c r="AZ28" s="1676" t="s">
        <v>6349</v>
      </c>
    </row>
    <row r="29" spans="1:52" s="223" customFormat="1" ht="15.75" customHeight="1">
      <c r="A29" s="144"/>
      <c r="B29" s="3235" t="s">
        <v>747</v>
      </c>
      <c r="C29" s="3236"/>
      <c r="D29" s="3236"/>
      <c r="E29" s="144"/>
      <c r="H29" s="3181" t="s">
        <v>7105</v>
      </c>
      <c r="I29" s="3182"/>
      <c r="J29" s="3182"/>
      <c r="K29" s="3183"/>
      <c r="L29" s="3257">
        <v>2016423.3374999999</v>
      </c>
      <c r="M29" s="3258"/>
      <c r="N29" s="144"/>
      <c r="Q29" s="144"/>
      <c r="S29" s="3233"/>
      <c r="T29" s="3234"/>
      <c r="Y29" s="1742" t="s">
        <v>6349</v>
      </c>
      <c r="Z29" s="1706">
        <v>29</v>
      </c>
      <c r="AZ29" s="1676" t="s">
        <v>6350</v>
      </c>
    </row>
    <row r="30" spans="1:52" s="223" customFormat="1" ht="15.75" customHeight="1">
      <c r="A30" s="144"/>
      <c r="B30" s="820" t="s">
        <v>232</v>
      </c>
      <c r="C30" s="144"/>
      <c r="D30" s="3209" t="s">
        <v>7043</v>
      </c>
      <c r="E30" s="3209"/>
      <c r="F30" s="3209"/>
      <c r="G30" s="3209"/>
      <c r="H30" s="3181" t="s">
        <v>7105</v>
      </c>
      <c r="I30" s="3182"/>
      <c r="J30" s="3182"/>
      <c r="K30" s="3183"/>
      <c r="L30" s="3257">
        <v>353532.06387779693</v>
      </c>
      <c r="M30" s="3258"/>
      <c r="N30" s="144"/>
      <c r="Q30" s="144"/>
      <c r="S30" s="3194"/>
      <c r="T30" s="3195"/>
      <c r="Y30" s="1742" t="s">
        <v>6350</v>
      </c>
      <c r="Z30" s="1706">
        <v>30</v>
      </c>
      <c r="AZ30" s="1676" t="s">
        <v>6351</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6351</v>
      </c>
      <c r="Z31" s="1706">
        <v>31</v>
      </c>
      <c r="AZ31" s="1676" t="s">
        <v>6352</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6352</v>
      </c>
      <c r="Z32" s="1706">
        <v>32</v>
      </c>
      <c r="AZ32" s="1676"/>
    </row>
    <row r="33" spans="1:52" s="223" customFormat="1" ht="16.5" customHeight="1">
      <c r="A33" s="144"/>
      <c r="B33" s="222" t="s">
        <v>1221</v>
      </c>
      <c r="C33" s="144"/>
      <c r="D33" s="144"/>
      <c r="E33" s="144"/>
      <c r="F33" s="144"/>
      <c r="G33" s="144"/>
      <c r="H33" s="144"/>
      <c r="I33" s="144"/>
      <c r="L33" s="3263">
        <f>SUM(L22:L32)</f>
        <v>30011802.129847247</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29854999.201668195</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156802.92817905173</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3845</v>
      </c>
      <c r="J39" s="3246"/>
      <c r="K39" s="446" t="s">
        <v>1675</v>
      </c>
      <c r="L39" s="446" t="s">
        <v>2046</v>
      </c>
      <c r="M39" s="446" t="s">
        <v>2046</v>
      </c>
      <c r="N39" s="3246" t="s">
        <v>69</v>
      </c>
      <c r="O39" s="3246"/>
      <c r="P39" s="3244"/>
      <c r="Q39" s="3244"/>
      <c r="S39" s="3247" t="s">
        <v>2448</v>
      </c>
      <c r="T39" s="3247"/>
      <c r="Y39" s="1742"/>
      <c r="Z39" s="1706">
        <v>39</v>
      </c>
      <c r="AZ39" s="1676" t="s">
        <v>6353</v>
      </c>
    </row>
    <row r="40" spans="1:52" s="223" customFormat="1" ht="15" customHeight="1">
      <c r="A40" s="144"/>
      <c r="B40" s="3250" t="s">
        <v>2402</v>
      </c>
      <c r="C40" s="3251"/>
      <c r="D40" s="3251"/>
      <c r="E40" s="3219" t="s">
        <v>7042</v>
      </c>
      <c r="F40" s="3220"/>
      <c r="G40" s="3220"/>
      <c r="H40" s="3221"/>
      <c r="I40" s="3214">
        <v>10970000</v>
      </c>
      <c r="J40" s="3215"/>
      <c r="K40" s="654">
        <v>0.05</v>
      </c>
      <c r="L40" s="822">
        <v>17</v>
      </c>
      <c r="M40" s="822">
        <v>40</v>
      </c>
      <c r="N40" s="3252" t="s">
        <v>7044</v>
      </c>
      <c r="O40" s="3252"/>
      <c r="P40" s="3213">
        <f>IF(OR(I40&lt;=0,I40=""),"",IF(N40="Cash Flow",0,IF(N40="Amortizing",-PMT(K40/12,M40*12,I40,0,0)*12,"")))</f>
        <v>634763.60500293621</v>
      </c>
      <c r="Q40" s="3213"/>
      <c r="S40" s="3233"/>
      <c r="T40" s="3234"/>
      <c r="Y40" s="1742" t="s">
        <v>6353</v>
      </c>
      <c r="Z40" s="1706">
        <v>40</v>
      </c>
      <c r="AZ40" s="1676" t="s">
        <v>6354</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6354</v>
      </c>
      <c r="Z41" s="1706">
        <v>41</v>
      </c>
      <c r="AZ41" s="1676" t="s">
        <v>6355</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6355</v>
      </c>
      <c r="Z42" s="1706">
        <v>42</v>
      </c>
      <c r="AZ42" s="1676" t="s">
        <v>6356</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6356</v>
      </c>
      <c r="Z43" s="1706">
        <v>43</v>
      </c>
      <c r="AZ43" s="1676" t="s">
        <v>6357</v>
      </c>
    </row>
    <row r="44" spans="1:52" s="223" customFormat="1" ht="15" customHeight="1">
      <c r="A44" s="144"/>
      <c r="B44" s="820" t="s">
        <v>3945</v>
      </c>
      <c r="C44" s="144"/>
      <c r="D44" s="824"/>
      <c r="E44" s="3181"/>
      <c r="F44" s="3182"/>
      <c r="G44" s="3182"/>
      <c r="H44" s="3183"/>
      <c r="I44" s="3184"/>
      <c r="J44" s="3230"/>
      <c r="K44" s="364"/>
      <c r="L44" s="819"/>
      <c r="M44" s="819"/>
      <c r="N44" s="3232"/>
      <c r="O44" s="3232"/>
      <c r="P44" s="3231"/>
      <c r="Q44" s="3231"/>
      <c r="S44" s="3194"/>
      <c r="T44" s="3195"/>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0.29492606749960409</v>
      </c>
      <c r="E45" s="3199" t="s">
        <v>7045</v>
      </c>
      <c r="F45" s="3200"/>
      <c r="G45" s="3200"/>
      <c r="H45" s="3201"/>
      <c r="I45" s="3253">
        <v>589852.13499920815</v>
      </c>
      <c r="J45" s="3254"/>
      <c r="K45" s="653">
        <v>0</v>
      </c>
      <c r="L45" s="652">
        <v>15</v>
      </c>
      <c r="M45" s="652">
        <v>15</v>
      </c>
      <c r="N45" s="3063" t="s">
        <v>1096</v>
      </c>
      <c r="O45" s="3064"/>
      <c r="P45" s="3255">
        <f>IF(OR(I45&lt;=0,I45=""),"",IF(N45="Cash Flow",0,IF(N45="Amortizing",-PMT(K45/12,M45*12,I45,0,0)*12,"")))</f>
        <v>0</v>
      </c>
      <c r="Q45" s="3256"/>
      <c r="S45" s="3194"/>
      <c r="T45" s="3195"/>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3407</v>
      </c>
      <c r="C47" s="144"/>
      <c r="E47" s="223" t="s">
        <v>3365</v>
      </c>
      <c r="F47" s="3188">
        <f>IF(OR($I$45="",$I$45=0,'Part VI-Pro Forma'!$S$35=0,'Part VI-Pro Forma'!$S$35=""),"",VLOOKUP($L$45,'Part VI-Pro Forma'!$Q$21:$S$40,3))</f>
        <v>3377571.8244008021</v>
      </c>
      <c r="G47" s="3189"/>
      <c r="H47" s="485" t="s">
        <v>3406</v>
      </c>
      <c r="I47" s="3188">
        <f>IF(OR($I$45="",$I$45=0,'Part VI-Pro Forma'!$R$35=0,'Part VI-Pro Forma'!$R$35=""),"",VLOOKUP($L$45,'Part VI-Pro Forma'!$Q$21:$S$35,2))</f>
        <v>589852.07228203095</v>
      </c>
      <c r="J47" s="3189"/>
      <c r="K47" s="485" t="s">
        <v>3408</v>
      </c>
      <c r="L47" s="3211">
        <f>IF(OR($F$47 = 0,$F$47 =""),"",$I$47/$F$47)</f>
        <v>0.17463790644531255</v>
      </c>
      <c r="M47" s="3212"/>
      <c r="N47" s="3192" t="s">
        <v>3849</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6359</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6359</v>
      </c>
      <c r="Z49" s="1706">
        <v>49</v>
      </c>
      <c r="AZ49" s="1676" t="s">
        <v>6360</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6360</v>
      </c>
      <c r="Z50" s="1706">
        <v>50</v>
      </c>
      <c r="AZ50" s="1676" t="s">
        <v>6361</v>
      </c>
    </row>
    <row r="51" spans="1:52" s="223" customFormat="1" ht="15" customHeight="1">
      <c r="A51" s="144"/>
      <c r="B51" s="3235" t="s">
        <v>746</v>
      </c>
      <c r="C51" s="3236"/>
      <c r="D51" s="3237"/>
      <c r="E51" s="3181" t="s">
        <v>7105</v>
      </c>
      <c r="F51" s="3182"/>
      <c r="G51" s="3182"/>
      <c r="H51" s="3183"/>
      <c r="I51" s="3184">
        <v>9170582.8499999996</v>
      </c>
      <c r="J51" s="3184"/>
      <c r="L51" s="3240">
        <f>'Part III-A-Uses of Funds'!$J$191*10*'Part III-A-Uses of Funds'!$N$182</f>
        <v>9171500</v>
      </c>
      <c r="M51" s="3240"/>
      <c r="N51" s="3241">
        <f>I51-L51</f>
        <v>-917.15000000037253</v>
      </c>
      <c r="O51" s="3241"/>
      <c r="P51" s="324">
        <f>I51/I61</f>
        <v>0.29254197721767855</v>
      </c>
      <c r="Q51" s="144"/>
      <c r="S51" s="3194"/>
      <c r="T51" s="3195"/>
      <c r="Y51" s="1742" t="s">
        <v>6361</v>
      </c>
      <c r="Z51" s="1706">
        <v>51</v>
      </c>
      <c r="AZ51" s="1676" t="s">
        <v>6362</v>
      </c>
    </row>
    <row r="52" spans="1:52" s="223" customFormat="1" ht="15" customHeight="1">
      <c r="A52" s="144"/>
      <c r="B52" s="3235" t="s">
        <v>747</v>
      </c>
      <c r="C52" s="3236"/>
      <c r="D52" s="3237"/>
      <c r="E52" s="3181" t="s">
        <v>7105</v>
      </c>
      <c r="F52" s="3182"/>
      <c r="G52" s="3182"/>
      <c r="H52" s="3183"/>
      <c r="I52" s="3184">
        <v>8065693.3806110146</v>
      </c>
      <c r="J52" s="3184"/>
      <c r="L52" s="3240">
        <f>'Part III-A-Uses of Funds'!$J$191*10*'Part III-A-Uses of Funds'!$Q$182</f>
        <v>8066500</v>
      </c>
      <c r="M52" s="3240"/>
      <c r="N52" s="3241">
        <f>I52-L52</f>
        <v>-806.61938898544759</v>
      </c>
      <c r="O52" s="3241"/>
      <c r="P52" s="324">
        <f>I52/I61</f>
        <v>0.25729595684264367</v>
      </c>
      <c r="Q52" s="144"/>
      <c r="S52" s="3194"/>
      <c r="T52" s="3195"/>
      <c r="Y52" s="1742" t="s">
        <v>6362</v>
      </c>
      <c r="Z52" s="1706">
        <v>52</v>
      </c>
      <c r="AZ52" s="1676" t="s">
        <v>6363</v>
      </c>
    </row>
    <row r="53" spans="1:52" s="223" customFormat="1" ht="15" customHeight="1">
      <c r="A53" s="144"/>
      <c r="B53" s="3235" t="s">
        <v>1331</v>
      </c>
      <c r="C53" s="3236"/>
      <c r="D53" s="3237"/>
      <c r="E53" s="3181" t="s">
        <v>7105</v>
      </c>
      <c r="F53" s="3182"/>
      <c r="G53" s="3182"/>
      <c r="H53" s="3183"/>
      <c r="I53" s="3184">
        <v>1767660.3193889847</v>
      </c>
      <c r="J53" s="3184"/>
      <c r="P53" s="325">
        <f>SUM(P51:P52)</f>
        <v>0.54983793406032222</v>
      </c>
      <c r="Q53" s="144"/>
      <c r="S53" s="3196"/>
      <c r="T53" s="3197"/>
      <c r="Y53" s="1742" t="s">
        <v>6363</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v>787732.44728000008</v>
      </c>
      <c r="J56" s="3184"/>
      <c r="M56" s="301"/>
      <c r="N56" s="301"/>
      <c r="O56" s="301"/>
      <c r="P56" s="301"/>
      <c r="Q56" s="144"/>
      <c r="S56" s="3194"/>
      <c r="T56" s="3195"/>
      <c r="Y56" s="1742"/>
      <c r="Z56" s="1706">
        <v>56</v>
      </c>
      <c r="AZ56" s="1676" t="s">
        <v>6364</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6364</v>
      </c>
      <c r="Z57" s="1706">
        <v>57</v>
      </c>
      <c r="AZ57" s="1676" t="s">
        <v>6365</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6365</v>
      </c>
      <c r="Z58" s="1706">
        <v>58</v>
      </c>
      <c r="AZ58" s="1676" t="s">
        <v>6366</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6366</v>
      </c>
      <c r="Z59" s="1706">
        <v>59</v>
      </c>
      <c r="AZ59" s="1676"/>
    </row>
    <row r="60" spans="1:52" s="223" customFormat="1" ht="14.25" customHeight="1">
      <c r="A60" s="144"/>
      <c r="B60" s="246" t="s">
        <v>2048</v>
      </c>
      <c r="C60" s="144"/>
      <c r="D60" s="144"/>
      <c r="E60" s="144"/>
      <c r="F60" s="144"/>
      <c r="G60" s="144"/>
      <c r="I60" s="3203">
        <f>SUM(I40:J45)+SUM(I49:J59)</f>
        <v>31351521.13227921</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31347921.201668195</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3599.9306110143661</v>
      </c>
      <c r="J62" s="3208"/>
      <c r="K62" s="144"/>
      <c r="L62" s="248"/>
      <c r="M62" s="301"/>
      <c r="N62" s="301"/>
      <c r="O62" s="301"/>
      <c r="P62" s="301"/>
      <c r="Q62" s="144"/>
      <c r="S62" s="3196"/>
      <c r="T62" s="3197"/>
      <c r="Y62" s="1742"/>
      <c r="Z62" s="1706">
        <v>62</v>
      </c>
      <c r="AZ62" s="1676"/>
    </row>
    <row r="63" spans="1:52" s="223" customFormat="1" ht="13.35"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4" zoomScaleNormal="100" workbookViewId="0">
      <selection activeCell="B177" sqref="B177"/>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Richmond Summit, Augusta, Richmond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Richmond Summit, Augusta, Richmond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12500</v>
      </c>
      <c r="H9" s="3270"/>
      <c r="J9" s="3269"/>
      <c r="K9" s="3270"/>
      <c r="L9" s="828"/>
      <c r="M9" s="3269"/>
      <c r="N9" s="3270"/>
      <c r="P9" s="3269">
        <v>12500</v>
      </c>
      <c r="Q9" s="3270"/>
      <c r="S9" s="3269"/>
      <c r="T9" s="3270"/>
      <c r="V9" s="849"/>
      <c r="W9" s="3384"/>
      <c r="X9" s="3385"/>
      <c r="AZ9" s="1968"/>
      <c r="BA9" s="1706">
        <v>9</v>
      </c>
    </row>
    <row r="10" spans="1:53" s="144" customFormat="1" ht="11.25" customHeight="1">
      <c r="B10" s="144" t="s">
        <v>431</v>
      </c>
      <c r="G10" s="3257">
        <v>17500</v>
      </c>
      <c r="H10" s="3258"/>
      <c r="J10" s="3257"/>
      <c r="K10" s="3258"/>
      <c r="L10" s="828"/>
      <c r="M10" s="3257"/>
      <c r="N10" s="3258"/>
      <c r="P10" s="3257">
        <v>17500</v>
      </c>
      <c r="Q10" s="3258"/>
      <c r="S10" s="3257"/>
      <c r="T10" s="3258"/>
      <c r="V10" s="849"/>
      <c r="W10" s="3384"/>
      <c r="X10" s="3385"/>
      <c r="AZ10" s="1968"/>
      <c r="BA10" s="1706">
        <v>10</v>
      </c>
    </row>
    <row r="11" spans="1:53" s="144" customFormat="1" ht="11.25" customHeight="1">
      <c r="B11" s="144" t="s">
        <v>458</v>
      </c>
      <c r="G11" s="3257">
        <v>15000</v>
      </c>
      <c r="H11" s="3258"/>
      <c r="J11" s="3257"/>
      <c r="K11" s="3258"/>
      <c r="L11" s="828"/>
      <c r="M11" s="3257"/>
      <c r="N11" s="3258"/>
      <c r="P11" s="3257">
        <v>15000</v>
      </c>
      <c r="Q11" s="3258"/>
      <c r="S11" s="3257"/>
      <c r="T11" s="3258"/>
      <c r="V11" s="849"/>
      <c r="W11" s="3384"/>
      <c r="X11" s="3385"/>
      <c r="AZ11" s="1968"/>
      <c r="BA11" s="1706">
        <v>11</v>
      </c>
    </row>
    <row r="12" spans="1:53" s="144" customFormat="1" ht="11.25" customHeight="1">
      <c r="B12" s="144" t="s">
        <v>459</v>
      </c>
      <c r="G12" s="3257"/>
      <c r="H12" s="3258"/>
      <c r="J12" s="3257"/>
      <c r="K12" s="3258"/>
      <c r="L12" s="828"/>
      <c r="M12" s="3257"/>
      <c r="N12" s="3258"/>
      <c r="P12" s="3257"/>
      <c r="Q12" s="3258"/>
      <c r="S12" s="3257"/>
      <c r="T12" s="3258"/>
      <c r="V12" s="849"/>
      <c r="W12" s="3384"/>
      <c r="X12" s="3385"/>
      <c r="AZ12" s="1968"/>
      <c r="BA12" s="1706">
        <v>12</v>
      </c>
    </row>
    <row r="13" spans="1:53" s="144" customFormat="1" ht="11.25" customHeight="1">
      <c r="B13" s="144" t="s">
        <v>2301</v>
      </c>
      <c r="G13" s="3257"/>
      <c r="H13" s="3258"/>
      <c r="J13" s="3257"/>
      <c r="K13" s="3258"/>
      <c r="L13" s="828"/>
      <c r="M13" s="3257"/>
      <c r="N13" s="3258"/>
      <c r="P13" s="3257"/>
      <c r="Q13" s="3258"/>
      <c r="S13" s="3257"/>
      <c r="T13" s="3258"/>
      <c r="V13" s="849"/>
      <c r="W13" s="3384"/>
      <c r="X13" s="3385"/>
      <c r="AZ13" s="1968"/>
      <c r="BA13" s="1706">
        <v>13</v>
      </c>
    </row>
    <row r="14" spans="1:53" s="144" customFormat="1" ht="11.25" customHeight="1">
      <c r="B14" s="144" t="s">
        <v>183</v>
      </c>
      <c r="G14" s="3257">
        <v>20000</v>
      </c>
      <c r="H14" s="3258"/>
      <c r="J14" s="3257"/>
      <c r="K14" s="3258"/>
      <c r="L14" s="828"/>
      <c r="M14" s="3257"/>
      <c r="N14" s="3258"/>
      <c r="P14" s="3257">
        <v>20000</v>
      </c>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6273</v>
      </c>
      <c r="C15" s="3453" t="s">
        <v>7046</v>
      </c>
      <c r="D15" s="3453"/>
      <c r="E15" s="3453"/>
      <c r="F15" s="3454"/>
      <c r="G15" s="3257">
        <v>25000</v>
      </c>
      <c r="H15" s="3258"/>
      <c r="J15" s="3257"/>
      <c r="K15" s="3258"/>
      <c r="L15" s="828"/>
      <c r="M15" s="3257"/>
      <c r="N15" s="3258"/>
      <c r="P15" s="3257">
        <v>25000</v>
      </c>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6367</v>
      </c>
      <c r="BA15" s="1706">
        <v>15</v>
      </c>
    </row>
    <row r="16" spans="1:53" s="144" customFormat="1" ht="11.25" customHeight="1">
      <c r="A16" s="303" t="str">
        <f>IF(AND(G16&gt;0,OR(C16="",C16="&lt;Enter detailed description here; use Comments section if needed&gt;")),"X","")</f>
        <v/>
      </c>
      <c r="B16" s="147" t="s">
        <v>6274</v>
      </c>
      <c r="C16" s="3453" t="s">
        <v>7047</v>
      </c>
      <c r="D16" s="3453"/>
      <c r="E16" s="3453"/>
      <c r="F16" s="3454"/>
      <c r="G16" s="3257">
        <v>50000</v>
      </c>
      <c r="H16" s="3258"/>
      <c r="J16" s="3257"/>
      <c r="K16" s="3258"/>
      <c r="L16" s="828"/>
      <c r="M16" s="3257"/>
      <c r="N16" s="3258"/>
      <c r="P16" s="3257"/>
      <c r="Q16" s="3258"/>
      <c r="S16" s="3257">
        <v>50000</v>
      </c>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6368</v>
      </c>
      <c r="BA16" s="1706">
        <v>16</v>
      </c>
    </row>
    <row r="17" spans="1:53" s="144" customFormat="1" ht="11.25" customHeight="1" thickBot="1">
      <c r="A17" s="303" t="str">
        <f>IF(AND(G17&gt;0,OR(C17="",C17="&lt;Enter detailed description here; use Comments section if needed&gt;")),"X","")</f>
        <v/>
      </c>
      <c r="B17" s="147" t="s">
        <v>6275</v>
      </c>
      <c r="C17" s="3453" t="s">
        <v>6723</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6369</v>
      </c>
      <c r="BA17" s="1706">
        <v>17</v>
      </c>
    </row>
    <row r="18" spans="1:53" s="144" customFormat="1" ht="12.6" customHeight="1" thickTop="1">
      <c r="F18" s="281" t="s">
        <v>184</v>
      </c>
      <c r="G18" s="3370">
        <f>SUM(G9:G17)</f>
        <v>140000</v>
      </c>
      <c r="H18" s="3371"/>
      <c r="J18" s="3370">
        <f>SUM(J9:J17)</f>
        <v>0</v>
      </c>
      <c r="K18" s="3371"/>
      <c r="L18" s="828"/>
      <c r="M18" s="3370">
        <f>SUM(M9:M17)</f>
        <v>0</v>
      </c>
      <c r="N18" s="3371"/>
      <c r="P18" s="3370">
        <f>SUM(P9:P17)</f>
        <v>90000</v>
      </c>
      <c r="Q18" s="3371"/>
      <c r="S18" s="3370">
        <f>SUM(S9:S17)</f>
        <v>50000</v>
      </c>
      <c r="T18" s="3371"/>
      <c r="V18" s="851">
        <f>SUM(V9:V17)</f>
        <v>0</v>
      </c>
      <c r="W18" s="3388"/>
      <c r="X18" s="3389"/>
      <c r="AZ18" s="1968" t="s">
        <v>6370</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76943.844492440607</v>
      </c>
      <c r="G20" s="3269">
        <v>712500</v>
      </c>
      <c r="H20" s="3270"/>
      <c r="J20" s="283"/>
      <c r="K20" s="280"/>
      <c r="L20" s="283"/>
      <c r="M20" s="283"/>
      <c r="N20" s="280"/>
      <c r="P20" s="283"/>
      <c r="Q20" s="280"/>
      <c r="S20" s="3269">
        <v>712500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v>0</v>
      </c>
      <c r="T22" s="3258"/>
      <c r="V22" s="849"/>
      <c r="W22" s="3384"/>
      <c r="X22" s="3385"/>
      <c r="AZ22" s="1968"/>
      <c r="BA22" s="1706">
        <v>22</v>
      </c>
    </row>
    <row r="23" spans="1:53" s="144" customFormat="1" ht="11.25" customHeight="1" thickBot="1">
      <c r="B23" s="144" t="s">
        <v>405</v>
      </c>
      <c r="G23" s="3456">
        <v>8787500</v>
      </c>
      <c r="H23" s="3457"/>
      <c r="J23" s="283"/>
      <c r="K23" s="280"/>
      <c r="L23" s="283"/>
      <c r="M23" s="3456"/>
      <c r="N23" s="3457"/>
      <c r="P23" s="283"/>
      <c r="Q23" s="280"/>
      <c r="S23" s="3456">
        <v>8787500</v>
      </c>
      <c r="T23" s="3457"/>
      <c r="V23" s="849"/>
      <c r="W23" s="3386"/>
      <c r="X23" s="3387"/>
      <c r="AZ23" s="1968"/>
      <c r="BA23" s="1706">
        <v>23</v>
      </c>
    </row>
    <row r="24" spans="1:53" s="144" customFormat="1" ht="12.6" customHeight="1" thickTop="1">
      <c r="F24" s="281" t="s">
        <v>184</v>
      </c>
      <c r="G24" s="3370">
        <f>SUM(G20:G23)</f>
        <v>9500000</v>
      </c>
      <c r="H24" s="3371"/>
      <c r="J24" s="283"/>
      <c r="K24" s="280"/>
      <c r="L24" s="283"/>
      <c r="M24" s="3370">
        <f>SUM(M22:M23)</f>
        <v>0</v>
      </c>
      <c r="N24" s="3371"/>
      <c r="P24" s="283"/>
      <c r="Q24" s="280"/>
      <c r="S24" s="3370">
        <f>SUM(S20:S23)</f>
        <v>9500000</v>
      </c>
      <c r="T24" s="3371"/>
      <c r="V24" s="851">
        <f>SUM(V20:V23)</f>
        <v>0</v>
      </c>
      <c r="W24" s="3388"/>
      <c r="X24" s="3389"/>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7067.7105831533481</v>
      </c>
      <c r="G26" s="3269">
        <v>65447</v>
      </c>
      <c r="H26" s="3270"/>
      <c r="J26" s="3269"/>
      <c r="K26" s="3270"/>
      <c r="L26" s="828"/>
      <c r="M26" s="3487"/>
      <c r="N26" s="3488"/>
      <c r="P26" s="3487"/>
      <c r="Q26" s="3488"/>
      <c r="S26" s="3269"/>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65447</v>
      </c>
      <c r="H28" s="3371"/>
      <c r="J28" s="3370">
        <f>SUM(J26:J27)</f>
        <v>0</v>
      </c>
      <c r="K28" s="3371"/>
      <c r="L28" s="283"/>
      <c r="M28" s="3370">
        <f>M26</f>
        <v>0</v>
      </c>
      <c r="N28" s="3371"/>
      <c r="P28" s="3370">
        <f>P26</f>
        <v>0</v>
      </c>
      <c r="Q28" s="3371"/>
      <c r="S28" s="3370">
        <f>SUM(S26:S27)</f>
        <v>0</v>
      </c>
      <c r="T28" s="3371"/>
      <c r="V28" s="851">
        <f>SUM(V26:V27)</f>
        <v>0</v>
      </c>
      <c r="W28" s="3388"/>
      <c r="X28" s="3389"/>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c r="H30" s="3270"/>
      <c r="J30" s="3269"/>
      <c r="K30" s="3270"/>
      <c r="L30" s="828"/>
      <c r="M30" s="3269"/>
      <c r="N30" s="3270"/>
      <c r="P30" s="3269"/>
      <c r="Q30" s="3270"/>
      <c r="S30" s="3269"/>
      <c r="T30" s="3270"/>
      <c r="V30" s="849"/>
      <c r="W30" s="3384"/>
      <c r="X30" s="3385"/>
      <c r="AZ30" s="1968"/>
      <c r="BA30" s="1706">
        <v>30</v>
      </c>
    </row>
    <row r="31" spans="1:53" s="144" customFormat="1" ht="11.25" customHeight="1">
      <c r="B31" s="144" t="s">
        <v>1060</v>
      </c>
      <c r="G31" s="3257">
        <v>12534553</v>
      </c>
      <c r="H31" s="3258"/>
      <c r="J31" s="3257"/>
      <c r="K31" s="3258"/>
      <c r="L31" s="828"/>
      <c r="M31" s="3257"/>
      <c r="N31" s="3258"/>
      <c r="P31" s="3257">
        <f>G31</f>
        <v>12534553</v>
      </c>
      <c r="Q31" s="3258"/>
      <c r="S31" s="3257"/>
      <c r="T31" s="3258"/>
      <c r="V31" s="849"/>
      <c r="W31" s="3384"/>
      <c r="X31" s="3385"/>
      <c r="AZ31" s="1968"/>
      <c r="BA31" s="1706">
        <v>31</v>
      </c>
    </row>
    <row r="32" spans="1:53" s="144" customFormat="1" ht="11.25" customHeight="1">
      <c r="B32" s="144" t="s">
        <v>6090</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6088</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6089</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12534553</v>
      </c>
      <c r="H36" s="3371"/>
      <c r="J36" s="3370">
        <f>SUM(J30:J35)</f>
        <v>0</v>
      </c>
      <c r="K36" s="3371"/>
      <c r="L36" s="828"/>
      <c r="M36" s="3370">
        <f>SUM(M30:M35)</f>
        <v>0</v>
      </c>
      <c r="N36" s="3371"/>
      <c r="P36" s="3370">
        <f>SUM(P30:P35)</f>
        <v>12534553</v>
      </c>
      <c r="Q36" s="3371"/>
      <c r="S36" s="3370">
        <f>SUM(S30:S35)</f>
        <v>0</v>
      </c>
      <c r="T36" s="3371"/>
      <c r="V36" s="851">
        <f>SUM(V30:V35)</f>
        <v>0</v>
      </c>
      <c r="W36" s="3388"/>
      <c r="X36" s="3389"/>
      <c r="AZ36" s="1968" t="s">
        <v>6373</v>
      </c>
      <c r="BA36" s="1706">
        <v>36</v>
      </c>
    </row>
    <row r="37" spans="1:53" s="144" customFormat="1" ht="12" customHeight="1">
      <c r="B37" s="243" t="s">
        <v>2163</v>
      </c>
      <c r="D37" s="3482" t="s">
        <v>3225</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756000</v>
      </c>
      <c r="F38" s="1949">
        <f>IF(($G$28+$G$36)=0,0,G38/($G$28+$G$36))</f>
        <v>0.06</v>
      </c>
      <c r="G38" s="3269">
        <v>756000</v>
      </c>
      <c r="H38" s="3270"/>
      <c r="I38" s="145"/>
      <c r="J38" s="3269"/>
      <c r="K38" s="3270"/>
      <c r="L38" s="828"/>
      <c r="M38" s="3269"/>
      <c r="N38" s="3270"/>
      <c r="P38" s="3269">
        <f>G38</f>
        <v>756000</v>
      </c>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252000</v>
      </c>
      <c r="F39" s="1949">
        <f>IF(($G$28+$G$36)=0,0,G39/($G$28+$G$36))</f>
        <v>0.02</v>
      </c>
      <c r="G39" s="3257">
        <v>252000</v>
      </c>
      <c r="H39" s="3258"/>
      <c r="I39" s="145"/>
      <c r="J39" s="3257"/>
      <c r="K39" s="3258"/>
      <c r="L39" s="828"/>
      <c r="M39" s="3257"/>
      <c r="N39" s="3258"/>
      <c r="P39" s="3257">
        <f>G39</f>
        <v>252000</v>
      </c>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756000</v>
      </c>
      <c r="F40" s="1952">
        <f>IF(($G$28+$G$36)=0,0,G40/($G$28+$G$36))</f>
        <v>0.06</v>
      </c>
      <c r="G40" s="3456">
        <v>756000</v>
      </c>
      <c r="H40" s="3457"/>
      <c r="I40" s="145"/>
      <c r="J40" s="3456"/>
      <c r="K40" s="3457"/>
      <c r="L40" s="828"/>
      <c r="M40" s="3456"/>
      <c r="N40" s="3457"/>
      <c r="P40" s="3456">
        <f>G40</f>
        <v>756000</v>
      </c>
      <c r="Q40" s="3457"/>
      <c r="S40" s="3456"/>
      <c r="T40" s="3457"/>
      <c r="V40" s="849"/>
      <c r="W40" s="3386"/>
      <c r="X40" s="3387"/>
      <c r="AZ40" s="1968"/>
      <c r="BA40" s="1706">
        <v>40</v>
      </c>
    </row>
    <row r="41" spans="1:53" s="144" customFormat="1" ht="12.6" customHeight="1" thickTop="1">
      <c r="B41" s="147" t="s">
        <v>3226</v>
      </c>
      <c r="D41" s="761">
        <f>SUM(D38:D40)</f>
        <v>0.14000000000000001</v>
      </c>
      <c r="E41" s="762">
        <f>SUM(E38:E40)</f>
        <v>1764000</v>
      </c>
      <c r="F41" s="1946" t="s">
        <v>184</v>
      </c>
      <c r="G41" s="3370">
        <f>SUM(G38:G40)</f>
        <v>1764000</v>
      </c>
      <c r="H41" s="3371"/>
      <c r="J41" s="3370">
        <f>SUM(J38:J40)</f>
        <v>0</v>
      </c>
      <c r="K41" s="3371"/>
      <c r="L41" s="283"/>
      <c r="M41" s="3370">
        <f>SUM(M38:M40)</f>
        <v>0</v>
      </c>
      <c r="N41" s="3371"/>
      <c r="P41" s="3370">
        <f>SUM(P38:P40)</f>
        <v>1764000</v>
      </c>
      <c r="Q41" s="3371"/>
      <c r="S41" s="3370">
        <f>SUM(S38:S40)</f>
        <v>0</v>
      </c>
      <c r="T41" s="3371"/>
      <c r="V41" s="851">
        <f>SUM(V38:V40)</f>
        <v>0</v>
      </c>
      <c r="W41" s="3388"/>
      <c r="X41" s="3389"/>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80">
        <f>G28+G36+G41</f>
        <v>14364000</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453" t="s">
        <v>6723</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6376</v>
      </c>
      <c r="BA47" s="1706">
        <v>47</v>
      </c>
    </row>
    <row r="48" spans="1:53" s="144" customFormat="1" ht="12.6" customHeight="1">
      <c r="B48" s="1665" t="s">
        <v>2479</v>
      </c>
      <c r="C48" s="1666"/>
      <c r="E48" s="3476" t="s">
        <v>2478</v>
      </c>
      <c r="F48" s="1667">
        <f>C49/'Part V-Revenues &amp; Expenses'!$P$65</f>
        <v>106400</v>
      </c>
      <c r="G48" s="1668" t="s">
        <v>2492</v>
      </c>
      <c r="H48" s="1669"/>
      <c r="I48" s="1669"/>
      <c r="J48" s="3361">
        <f>C49/'Part V-Revenues &amp; Expenses'!$P$67</f>
        <v>106400</v>
      </c>
      <c r="K48" s="3361"/>
      <c r="L48" s="1669"/>
      <c r="M48" s="3362" t="s">
        <v>6477</v>
      </c>
      <c r="N48" s="3362"/>
      <c r="O48" s="1669"/>
      <c r="P48" s="3361">
        <f>C49/'Part V-Revenues &amp; Expenses'!$K$175</f>
        <v>86.919162274517873</v>
      </c>
      <c r="Q48" s="3361"/>
      <c r="R48" s="1669"/>
      <c r="S48" s="3363" t="s">
        <v>6479</v>
      </c>
      <c r="T48" s="3364"/>
      <c r="V48" s="852"/>
      <c r="W48" s="3394"/>
      <c r="X48" s="3395"/>
      <c r="AZ48" s="1968"/>
      <c r="BA48" s="1706">
        <v>48</v>
      </c>
    </row>
    <row r="49" spans="1:53" s="144" customFormat="1" ht="12.6" customHeight="1">
      <c r="B49" s="1714" t="s">
        <v>6490</v>
      </c>
      <c r="C49" s="1713">
        <f>G28+G36+G41+G46</f>
        <v>14364000</v>
      </c>
      <c r="E49" s="3477"/>
      <c r="F49" s="1670">
        <f>C49/'Part V-Revenues &amp; Expenses'!$P$166</f>
        <v>171.28751833434694</v>
      </c>
      <c r="G49" s="1671" t="s">
        <v>2493</v>
      </c>
      <c r="H49" s="1672"/>
      <c r="I49" s="1672"/>
      <c r="J49" s="3365">
        <f>C49/'Part V-Revenues &amp; Expenses'!$P$168</f>
        <v>171.28751833434694</v>
      </c>
      <c r="K49" s="3365"/>
      <c r="L49" s="1672"/>
      <c r="M49" s="3366" t="s">
        <v>6478</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1436400</v>
      </c>
      <c r="F55" s="1756">
        <f>G55/C49</f>
        <v>0.1</v>
      </c>
      <c r="G55" s="3474">
        <v>1436400</v>
      </c>
      <c r="H55" s="3475"/>
      <c r="I55" s="144"/>
      <c r="J55" s="3474"/>
      <c r="K55" s="3475"/>
      <c r="L55" s="828"/>
      <c r="M55" s="3474"/>
      <c r="N55" s="3475"/>
      <c r="O55" s="144"/>
      <c r="P55" s="3474">
        <f>G55</f>
        <v>1436400</v>
      </c>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6299</v>
      </c>
      <c r="C57" s="1666"/>
      <c r="E57" s="3359" t="s">
        <v>6300</v>
      </c>
      <c r="F57" s="1667">
        <f>B58/'Part V-Revenues &amp; Expenses'!$P$65</f>
        <v>117040</v>
      </c>
      <c r="G57" s="1668" t="s">
        <v>2492</v>
      </c>
      <c r="H57" s="1669"/>
      <c r="I57" s="1669"/>
      <c r="J57" s="3361">
        <f>B58/'Part V-Revenues &amp; Expenses'!$P$67</f>
        <v>117040</v>
      </c>
      <c r="K57" s="3361"/>
      <c r="L57" s="1669"/>
      <c r="M57" s="3362" t="s">
        <v>6477</v>
      </c>
      <c r="N57" s="3362"/>
      <c r="O57" s="1669"/>
      <c r="P57" s="3361">
        <f>B58/'Part V-Revenues &amp; Expenses'!$K$175</f>
        <v>95.611078501969658</v>
      </c>
      <c r="Q57" s="3361"/>
      <c r="R57" s="1669"/>
      <c r="S57" s="3363" t="s">
        <v>6479</v>
      </c>
      <c r="T57" s="3364"/>
      <c r="V57" s="852"/>
      <c r="W57" s="3394"/>
      <c r="X57" s="3395"/>
      <c r="AZ57" s="1968"/>
      <c r="BA57" s="1706">
        <v>54</v>
      </c>
    </row>
    <row r="58" spans="1:53" s="144" customFormat="1" ht="12.6" customHeight="1">
      <c r="B58" s="3357">
        <f>C49+G55</f>
        <v>15800400</v>
      </c>
      <c r="C58" s="3358"/>
      <c r="E58" s="3360"/>
      <c r="F58" s="1670">
        <f>B58/'Part V-Revenues &amp; Expenses'!$P$166</f>
        <v>188.41627016778165</v>
      </c>
      <c r="G58" s="1671" t="s">
        <v>2493</v>
      </c>
      <c r="H58" s="1672"/>
      <c r="I58" s="1672"/>
      <c r="J58" s="3365">
        <f>B58/'Part V-Revenues &amp; Expenses'!$P$168</f>
        <v>188.41627016778165</v>
      </c>
      <c r="K58" s="3365"/>
      <c r="L58" s="1672"/>
      <c r="M58" s="3366" t="s">
        <v>6478</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3228</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253500</v>
      </c>
      <c r="H63" s="3258"/>
      <c r="J63" s="3257"/>
      <c r="K63" s="3258"/>
      <c r="L63" s="828"/>
      <c r="M63" s="3257"/>
      <c r="N63" s="3258"/>
      <c r="P63" s="3257">
        <v>146745.91121495326</v>
      </c>
      <c r="Q63" s="3258"/>
      <c r="S63" s="3257">
        <v>101254</v>
      </c>
      <c r="T63" s="3258"/>
      <c r="V63" s="853"/>
      <c r="W63" s="3384"/>
      <c r="X63" s="3385"/>
      <c r="AZ63" s="1968"/>
      <c r="BA63" s="1706">
        <v>63</v>
      </c>
    </row>
    <row r="64" spans="1:53" s="144" customFormat="1" ht="12" customHeight="1">
      <c r="B64" s="144" t="s">
        <v>2167</v>
      </c>
      <c r="G64" s="3257">
        <v>919585.20166819519</v>
      </c>
      <c r="H64" s="3258"/>
      <c r="J64" s="3257"/>
      <c r="K64" s="3258"/>
      <c r="L64" s="828"/>
      <c r="M64" s="3257"/>
      <c r="N64" s="3258"/>
      <c r="P64" s="3257">
        <v>919585.20166819519</v>
      </c>
      <c r="Q64" s="3258"/>
      <c r="S64" s="3257"/>
      <c r="T64" s="3258"/>
      <c r="V64" s="853"/>
      <c r="W64" s="3384"/>
      <c r="X64" s="3385"/>
      <c r="AZ64" s="1968"/>
      <c r="BA64" s="1706">
        <v>64</v>
      </c>
    </row>
    <row r="65" spans="1:53" s="144" customFormat="1" ht="12" customHeight="1">
      <c r="B65" s="144" t="s">
        <v>2168</v>
      </c>
      <c r="G65" s="3257">
        <v>31250</v>
      </c>
      <c r="H65" s="3258"/>
      <c r="J65" s="3257"/>
      <c r="K65" s="3258"/>
      <c r="L65" s="828"/>
      <c r="M65" s="3257"/>
      <c r="N65" s="3258"/>
      <c r="P65" s="3257">
        <v>13854</v>
      </c>
      <c r="Q65" s="3258"/>
      <c r="S65" s="3257">
        <v>17396</v>
      </c>
      <c r="T65" s="3258"/>
      <c r="V65" s="853"/>
      <c r="W65" s="3384"/>
      <c r="X65" s="3385"/>
      <c r="AZ65" s="1968" t="s">
        <v>6377</v>
      </c>
      <c r="BA65" s="1706">
        <v>65</v>
      </c>
    </row>
    <row r="66" spans="1:53" s="144" customFormat="1" ht="12" customHeight="1">
      <c r="B66" s="144" t="s">
        <v>2450</v>
      </c>
      <c r="G66" s="3257">
        <v>136500</v>
      </c>
      <c r="H66" s="3258"/>
      <c r="J66" s="3257"/>
      <c r="K66" s="3258"/>
      <c r="L66" s="828"/>
      <c r="M66" s="3257"/>
      <c r="N66" s="3258"/>
      <c r="P66" s="3257">
        <v>136500</v>
      </c>
      <c r="Q66" s="3258"/>
      <c r="S66" s="3257"/>
      <c r="T66" s="3258"/>
      <c r="V66" s="853"/>
      <c r="W66" s="3384"/>
      <c r="X66" s="3385"/>
      <c r="AZ66" s="1968" t="s">
        <v>6378</v>
      </c>
      <c r="BA66" s="1706">
        <v>66</v>
      </c>
    </row>
    <row r="67" spans="1:53" s="144" customFormat="1" ht="12" customHeight="1">
      <c r="B67" s="144" t="s">
        <v>676</v>
      </c>
      <c r="G67" s="3257"/>
      <c r="H67" s="3258"/>
      <c r="J67" s="3257"/>
      <c r="K67" s="3258"/>
      <c r="L67" s="828"/>
      <c r="M67" s="3257"/>
      <c r="N67" s="3258"/>
      <c r="P67" s="3257"/>
      <c r="Q67" s="3258"/>
      <c r="S67" s="3257"/>
      <c r="T67" s="3258"/>
      <c r="V67" s="853"/>
      <c r="W67" s="3384"/>
      <c r="X67" s="3385"/>
      <c r="AZ67" s="1968" t="s">
        <v>6379</v>
      </c>
      <c r="BA67" s="1706">
        <v>67</v>
      </c>
    </row>
    <row r="68" spans="1:53" s="144" customFormat="1" ht="12" customHeight="1">
      <c r="B68" s="144" t="s">
        <v>2169</v>
      </c>
      <c r="G68" s="3257">
        <v>100548</v>
      </c>
      <c r="H68" s="3258"/>
      <c r="J68" s="3257"/>
      <c r="K68" s="3258"/>
      <c r="L68" s="828"/>
      <c r="M68" s="3257"/>
      <c r="N68" s="3258"/>
      <c r="P68" s="3257">
        <v>100548</v>
      </c>
      <c r="Q68" s="3258"/>
      <c r="S68" s="3257"/>
      <c r="T68" s="3258"/>
      <c r="V68" s="853"/>
      <c r="W68" s="3384"/>
      <c r="X68" s="3385"/>
      <c r="AZ68" s="1968"/>
      <c r="BA68" s="1706">
        <v>68</v>
      </c>
    </row>
    <row r="69" spans="1:53" s="144" customFormat="1" ht="12" customHeight="1">
      <c r="B69" s="144" t="s">
        <v>1200</v>
      </c>
      <c r="G69" s="3257">
        <v>61000</v>
      </c>
      <c r="H69" s="3258"/>
      <c r="J69" s="3257"/>
      <c r="K69" s="3258"/>
      <c r="L69" s="828"/>
      <c r="M69" s="3257"/>
      <c r="N69" s="3258"/>
      <c r="P69" s="3257">
        <v>61000</v>
      </c>
      <c r="Q69" s="3258"/>
      <c r="S69" s="3257"/>
      <c r="T69" s="3258"/>
      <c r="V69" s="853"/>
      <c r="W69" s="3384"/>
      <c r="X69" s="3385"/>
      <c r="AZ69" s="1968"/>
      <c r="BA69" s="1706">
        <v>69</v>
      </c>
    </row>
    <row r="70" spans="1:53" s="144" customFormat="1" ht="12" customHeight="1">
      <c r="B70" s="287" t="s">
        <v>1085</v>
      </c>
      <c r="D70" s="285"/>
      <c r="E70" s="285"/>
      <c r="F70" s="286"/>
      <c r="G70" s="3257">
        <v>143640</v>
      </c>
      <c r="H70" s="3258"/>
      <c r="I70" s="145"/>
      <c r="J70" s="3257"/>
      <c r="K70" s="3258"/>
      <c r="L70" s="828"/>
      <c r="M70" s="3257"/>
      <c r="N70" s="3258"/>
      <c r="P70" s="3257">
        <v>143640</v>
      </c>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6278</v>
      </c>
      <c r="C71" s="3470" t="s">
        <v>6723</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6279</v>
      </c>
      <c r="C72" s="3472" t="s">
        <v>6723</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1646023.2016681952</v>
      </c>
      <c r="H73" s="3371"/>
      <c r="J73" s="3370">
        <f>SUM(J61:J72)</f>
        <v>0</v>
      </c>
      <c r="K73" s="3371"/>
      <c r="L73" s="283"/>
      <c r="M73" s="3370">
        <f>SUM(M61:M72)</f>
        <v>0</v>
      </c>
      <c r="N73" s="3371"/>
      <c r="P73" s="3370">
        <f>SUM(P61:P72)</f>
        <v>1521873.1128831485</v>
      </c>
      <c r="Q73" s="3371"/>
      <c r="S73" s="3370">
        <f>SUM(S61:S72)</f>
        <v>118650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250671</v>
      </c>
      <c r="H75" s="3270"/>
      <c r="J75" s="3269"/>
      <c r="K75" s="3270"/>
      <c r="L75" s="828"/>
      <c r="M75" s="3269"/>
      <c r="N75" s="3270"/>
      <c r="P75" s="3269">
        <v>250671</v>
      </c>
      <c r="Q75" s="3270"/>
      <c r="S75" s="3269"/>
      <c r="T75" s="3270"/>
      <c r="V75" s="849"/>
      <c r="W75" s="3384"/>
      <c r="X75" s="3385"/>
      <c r="AZ75" s="1968"/>
      <c r="BA75" s="1706">
        <v>75</v>
      </c>
    </row>
    <row r="76" spans="1:53" s="144" customFormat="1" ht="12" customHeight="1">
      <c r="B76" s="144" t="s">
        <v>451</v>
      </c>
      <c r="G76" s="3257">
        <v>83557</v>
      </c>
      <c r="H76" s="3258"/>
      <c r="J76" s="3257"/>
      <c r="K76" s="3258"/>
      <c r="L76" s="828"/>
      <c r="M76" s="3257"/>
      <c r="N76" s="3258"/>
      <c r="P76" s="3257">
        <v>83557</v>
      </c>
      <c r="Q76" s="3258"/>
      <c r="S76" s="3257"/>
      <c r="T76" s="3258"/>
      <c r="V76" s="849"/>
      <c r="W76" s="3384"/>
      <c r="X76" s="3385"/>
      <c r="AZ76" s="1968"/>
      <c r="BA76" s="1706">
        <v>76</v>
      </c>
    </row>
    <row r="77" spans="1:53" s="144" customFormat="1" ht="12" customHeight="1">
      <c r="B77" s="144" t="s">
        <v>1061</v>
      </c>
      <c r="D77" s="247"/>
      <c r="E77" s="844"/>
      <c r="F77" s="393"/>
      <c r="G77" s="3257"/>
      <c r="H77" s="3258"/>
      <c r="J77" s="3257"/>
      <c r="K77" s="3258"/>
      <c r="L77" s="828"/>
      <c r="M77" s="3257"/>
      <c r="N77" s="3258"/>
      <c r="P77" s="3257"/>
      <c r="Q77" s="3258"/>
      <c r="S77" s="3257"/>
      <c r="T77" s="3258"/>
      <c r="V77" s="849"/>
      <c r="W77" s="3384"/>
      <c r="X77" s="3385"/>
      <c r="AZ77" s="1968"/>
      <c r="BA77" s="1706">
        <v>77</v>
      </c>
    </row>
    <row r="78" spans="1:53" s="144" customFormat="1" ht="12" customHeight="1">
      <c r="B78" s="144" t="s">
        <v>1062</v>
      </c>
      <c r="G78" s="3257"/>
      <c r="H78" s="3258"/>
      <c r="J78" s="3257"/>
      <c r="K78" s="3258"/>
      <c r="L78" s="828"/>
      <c r="M78" s="3257"/>
      <c r="N78" s="3258"/>
      <c r="P78" s="3257"/>
      <c r="Q78" s="3258"/>
      <c r="S78" s="3257"/>
      <c r="T78" s="3258"/>
      <c r="V78" s="849"/>
      <c r="W78" s="3384"/>
      <c r="X78" s="3385"/>
      <c r="AZ78" s="1968"/>
      <c r="BA78" s="1706">
        <v>78</v>
      </c>
    </row>
    <row r="79" spans="1:53" s="144" customFormat="1" ht="12" customHeight="1">
      <c r="B79" s="144" t="s">
        <v>1063</v>
      </c>
      <c r="G79" s="3257"/>
      <c r="H79" s="3258"/>
      <c r="J79" s="3257"/>
      <c r="K79" s="3258"/>
      <c r="L79" s="828"/>
      <c r="M79" s="3257"/>
      <c r="N79" s="3258"/>
      <c r="P79" s="3257"/>
      <c r="Q79" s="3258"/>
      <c r="S79" s="3257"/>
      <c r="T79" s="3258"/>
      <c r="V79" s="849"/>
      <c r="W79" s="3384"/>
      <c r="X79" s="3385"/>
      <c r="AZ79" s="1968" t="s">
        <v>6380</v>
      </c>
      <c r="BA79" s="1706">
        <v>79</v>
      </c>
    </row>
    <row r="80" spans="1:53" s="144" customFormat="1" ht="12" customHeight="1">
      <c r="B80" s="144" t="s">
        <v>1064</v>
      </c>
      <c r="G80" s="3257"/>
      <c r="H80" s="3258"/>
      <c r="J80" s="3257"/>
      <c r="K80" s="3258"/>
      <c r="L80" s="828"/>
      <c r="M80" s="3257"/>
      <c r="N80" s="3258"/>
      <c r="P80" s="3257"/>
      <c r="Q80" s="3258"/>
      <c r="S80" s="3257"/>
      <c r="T80" s="3258"/>
      <c r="V80" s="849"/>
      <c r="W80" s="3384"/>
      <c r="X80" s="3385"/>
      <c r="AZ80" s="1968" t="s">
        <v>6381</v>
      </c>
      <c r="BA80" s="1706">
        <v>80</v>
      </c>
    </row>
    <row r="81" spans="1:53" s="144" customFormat="1" ht="12" customHeight="1">
      <c r="B81" s="144" t="s">
        <v>452</v>
      </c>
      <c r="G81" s="3257">
        <v>45000</v>
      </c>
      <c r="H81" s="3258"/>
      <c r="J81" s="3257"/>
      <c r="K81" s="3258"/>
      <c r="L81" s="828"/>
      <c r="M81" s="3257"/>
      <c r="N81" s="3258"/>
      <c r="P81" s="3257">
        <v>45000</v>
      </c>
      <c r="Q81" s="3258"/>
      <c r="S81" s="3257"/>
      <c r="T81" s="3258"/>
      <c r="V81" s="849"/>
      <c r="W81" s="3384"/>
      <c r="X81" s="3385"/>
      <c r="AZ81" s="744"/>
      <c r="BA81" s="1706">
        <v>81</v>
      </c>
    </row>
    <row r="82" spans="1:53" s="144" customFormat="1" ht="12" customHeight="1">
      <c r="B82" s="144" t="s">
        <v>453</v>
      </c>
      <c r="G82" s="3257">
        <v>150000</v>
      </c>
      <c r="H82" s="3258"/>
      <c r="J82" s="3257"/>
      <c r="K82" s="3258"/>
      <c r="L82" s="828"/>
      <c r="M82" s="3257"/>
      <c r="N82" s="3258"/>
      <c r="P82" s="3257">
        <v>150000</v>
      </c>
      <c r="Q82" s="3258"/>
      <c r="S82" s="3257"/>
      <c r="T82" s="3258"/>
      <c r="V82" s="849"/>
      <c r="W82" s="3384"/>
      <c r="X82" s="3385"/>
      <c r="AZ82" s="1968"/>
      <c r="BA82" s="1706">
        <v>82</v>
      </c>
    </row>
    <row r="83" spans="1:53" s="144" customFormat="1" ht="12" customHeight="1">
      <c r="B83" s="144" t="s">
        <v>1899</v>
      </c>
      <c r="G83" s="3257"/>
      <c r="H83" s="3258"/>
      <c r="J83" s="3257"/>
      <c r="K83" s="3258"/>
      <c r="L83" s="828"/>
      <c r="M83" s="3257"/>
      <c r="N83" s="3258"/>
      <c r="P83" s="3257"/>
      <c r="Q83" s="3258"/>
      <c r="S83" s="3257"/>
      <c r="T83" s="3258"/>
      <c r="V83" s="849"/>
      <c r="W83" s="3384"/>
      <c r="X83" s="3385"/>
      <c r="AZ83" s="1968"/>
      <c r="BA83" s="1706">
        <v>83</v>
      </c>
    </row>
    <row r="84" spans="1:53" s="144" customFormat="1" ht="12" customHeight="1">
      <c r="B84" s="144" t="s">
        <v>1201</v>
      </c>
      <c r="G84" s="3257"/>
      <c r="H84" s="3258"/>
      <c r="J84" s="3257"/>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6280</v>
      </c>
      <c r="C85" s="3453" t="s">
        <v>6723</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529228</v>
      </c>
      <c r="H86" s="3371"/>
      <c r="J86" s="3370">
        <f>SUM(J75:J85)</f>
        <v>0</v>
      </c>
      <c r="K86" s="3371"/>
      <c r="L86" s="283"/>
      <c r="M86" s="3370">
        <f>SUM(M75:M85)</f>
        <v>0</v>
      </c>
      <c r="N86" s="3371"/>
      <c r="P86" s="3370">
        <f>SUM(P75:P85)</f>
        <v>529228</v>
      </c>
      <c r="Q86" s="3371"/>
      <c r="S86" s="3370">
        <f>SUM(S75:S85)</f>
        <v>0</v>
      </c>
      <c r="T86" s="3371"/>
      <c r="V86" s="851">
        <f>SUM(V75:V85)</f>
        <v>0</v>
      </c>
      <c r="W86" s="3388"/>
      <c r="X86" s="3389"/>
      <c r="AZ86" s="1968" t="s">
        <v>6382</v>
      </c>
      <c r="BA86" s="1706">
        <v>86</v>
      </c>
    </row>
    <row r="87" spans="1:53" ht="12" customHeight="1">
      <c r="A87" s="144"/>
      <c r="B87" s="243" t="s">
        <v>1193</v>
      </c>
      <c r="C87" s="144"/>
      <c r="D87" s="690" t="s">
        <v>3230</v>
      </c>
      <c r="E87" s="763">
        <f>G92/'Part V-Revenues &amp; Expenses'!$P$67</f>
        <v>87.407407407407405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11800</v>
      </c>
      <c r="H88" s="3270"/>
      <c r="J88" s="3269"/>
      <c r="K88" s="3270"/>
      <c r="L88" s="828"/>
      <c r="M88" s="3269"/>
      <c r="N88" s="3270"/>
      <c r="P88" s="3269">
        <v>11800</v>
      </c>
      <c r="Q88" s="3270"/>
      <c r="S88" s="3269"/>
      <c r="T88" s="3270"/>
      <c r="V88" s="849"/>
      <c r="W88" s="3384"/>
      <c r="X88" s="3385"/>
      <c r="AZ88" s="1968"/>
      <c r="BA88" s="1706">
        <v>88</v>
      </c>
    </row>
    <row r="89" spans="1:53" s="144" customFormat="1" ht="12" customHeight="1">
      <c r="B89" s="144" t="s">
        <v>1195</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2649</v>
      </c>
      <c r="G90" s="3257"/>
      <c r="H90" s="3258"/>
      <c r="I90" s="145"/>
      <c r="J90" s="3257"/>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2649</v>
      </c>
      <c r="G91" s="3261"/>
      <c r="H91" s="3262"/>
      <c r="I91" s="145"/>
      <c r="J91" s="3261"/>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11800</v>
      </c>
      <c r="H92" s="3371"/>
      <c r="J92" s="3370">
        <f>SUM(J88:J91)</f>
        <v>0</v>
      </c>
      <c r="K92" s="3371"/>
      <c r="L92" s="283"/>
      <c r="M92" s="3370">
        <f>SUM(M88:M91)</f>
        <v>0</v>
      </c>
      <c r="N92" s="3371"/>
      <c r="P92" s="3370">
        <f>SUM(P88:P91)</f>
        <v>11800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69">
        <v>17500</v>
      </c>
      <c r="H97" s="3270"/>
      <c r="J97" s="3461"/>
      <c r="K97" s="3461"/>
      <c r="L97" s="828"/>
      <c r="M97" s="3461"/>
      <c r="N97" s="3461"/>
      <c r="P97" s="3461"/>
      <c r="Q97" s="3461"/>
      <c r="S97" s="3269">
        <v>17500</v>
      </c>
      <c r="T97" s="3270"/>
      <c r="V97" s="849"/>
      <c r="W97" s="3384"/>
      <c r="X97" s="3385"/>
      <c r="AZ97" s="1968" t="s">
        <v>6384</v>
      </c>
      <c r="BA97" s="1706">
        <v>97</v>
      </c>
    </row>
    <row r="98" spans="1:53" s="144" customFormat="1" ht="12" customHeight="1">
      <c r="B98" s="144" t="s">
        <v>1199</v>
      </c>
      <c r="G98" s="3257">
        <v>31250</v>
      </c>
      <c r="H98" s="3258"/>
      <c r="J98" s="3461"/>
      <c r="K98" s="3461"/>
      <c r="L98" s="828"/>
      <c r="M98" s="3461"/>
      <c r="N98" s="3461"/>
      <c r="P98" s="3461"/>
      <c r="Q98" s="3461"/>
      <c r="S98" s="3257">
        <v>31250</v>
      </c>
      <c r="T98" s="3258"/>
      <c r="V98" s="849"/>
      <c r="W98" s="3384"/>
      <c r="X98" s="3385"/>
      <c r="AZ98" s="1968"/>
      <c r="BA98" s="1706">
        <v>98</v>
      </c>
    </row>
    <row r="99" spans="1:53" s="144" customFormat="1" ht="12" customHeight="1">
      <c r="B99" s="144" t="s">
        <v>1200</v>
      </c>
      <c r="G99" s="3257"/>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6281</v>
      </c>
      <c r="C102" s="3453" t="s">
        <v>6723</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48750</v>
      </c>
      <c r="H103" s="3371"/>
      <c r="J103" s="3461"/>
      <c r="K103" s="3461"/>
      <c r="L103" s="283"/>
      <c r="M103" s="3461"/>
      <c r="N103" s="3461"/>
      <c r="P103" s="3461"/>
      <c r="Q103" s="3461"/>
      <c r="S103" s="3370">
        <f>SUM(S97:S102)</f>
        <v>48750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6705</v>
      </c>
      <c r="AA105" s="236" t="s">
        <v>6647</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3152</v>
      </c>
      <c r="AB106" s="1931"/>
      <c r="AC106" s="1931"/>
      <c r="AD106" s="1932">
        <f>'Part V-Revenues &amp; Expenses'!$P$67</f>
        <v>135</v>
      </c>
      <c r="AZ106" s="1968" t="s">
        <v>6385</v>
      </c>
      <c r="BA106" s="1706">
        <v>106</v>
      </c>
    </row>
    <row r="107" spans="1:53" s="144" customFormat="1" ht="12.6" customHeight="1">
      <c r="B107" s="144" t="s">
        <v>3320</v>
      </c>
      <c r="G107" s="3257">
        <v>13500</v>
      </c>
      <c r="H107" s="3258"/>
      <c r="J107" s="283"/>
      <c r="K107" s="283"/>
      <c r="L107" s="290"/>
      <c r="M107" s="283"/>
      <c r="N107" s="283"/>
      <c r="P107" s="283"/>
      <c r="Q107" s="283"/>
      <c r="S107" s="3257">
        <v>13500</v>
      </c>
      <c r="T107" s="3258"/>
      <c r="V107" s="849"/>
      <c r="W107" s="3384"/>
      <c r="X107" s="3385"/>
      <c r="Y107" s="3499"/>
      <c r="Z107" s="301"/>
      <c r="AA107" s="225" t="s">
        <v>6710</v>
      </c>
      <c r="AB107" s="147"/>
      <c r="AC107" s="147"/>
      <c r="AD107" s="147"/>
      <c r="AF107" s="1936" t="s">
        <v>6711</v>
      </c>
      <c r="AZ107" s="1968" t="s">
        <v>6386</v>
      </c>
      <c r="BA107" s="1706">
        <v>107</v>
      </c>
    </row>
    <row r="108" spans="1:53" s="144" customFormat="1" ht="12.6" customHeight="1">
      <c r="B108" s="144" t="s">
        <v>486</v>
      </c>
      <c r="E108" s="3464">
        <f>ROUNDUP('DCA Underwriting Assumptions'!$Q$56*J191,0)</f>
        <v>88400</v>
      </c>
      <c r="F108" s="3465"/>
      <c r="G108" s="3257">
        <v>88400</v>
      </c>
      <c r="H108" s="3258"/>
      <c r="J108" s="764" t="str">
        <f>IF(E108&gt;G108,"WARNING!  LIHTC Allocation Fee proposed is below minimum required.","")</f>
        <v/>
      </c>
      <c r="K108" s="283"/>
      <c r="L108" s="828"/>
      <c r="M108" s="283"/>
      <c r="N108" s="283"/>
      <c r="P108" s="283"/>
      <c r="Q108" s="283"/>
      <c r="S108" s="3257">
        <v>88400</v>
      </c>
      <c r="T108" s="3258"/>
      <c r="V108" s="849"/>
      <c r="W108" s="3384"/>
      <c r="X108" s="3385"/>
      <c r="Y108" s="3499"/>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 customHeight="1">
      <c r="B109" s="144" t="s">
        <v>702</v>
      </c>
      <c r="E109" s="3464">
        <f>AF111+AF115</f>
        <v>108000</v>
      </c>
      <c r="F109" s="3465"/>
      <c r="G109" s="3257">
        <v>108800</v>
      </c>
      <c r="H109" s="3258"/>
      <c r="I109" s="3496" t="str">
        <f>IF(E109&gt;G109,"WARNING!  LIHTC Compliance Fee proposed is below minimum required.","")</f>
        <v/>
      </c>
      <c r="J109" s="3497"/>
      <c r="K109" s="3497"/>
      <c r="L109" s="3497"/>
      <c r="M109" s="3497"/>
      <c r="N109" s="3497"/>
      <c r="O109" s="3497"/>
      <c r="P109" s="3497"/>
      <c r="Q109" s="3497"/>
      <c r="R109" s="3498"/>
      <c r="S109" s="3257">
        <v>108800</v>
      </c>
      <c r="T109" s="3258"/>
      <c r="V109" s="849"/>
      <c r="W109" s="3384"/>
      <c r="X109" s="3385"/>
      <c r="Y109" s="3499"/>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3451</v>
      </c>
      <c r="F110" s="969"/>
      <c r="G110" s="3257">
        <v>4500</v>
      </c>
      <c r="H110" s="3258"/>
      <c r="I110" s="3496"/>
      <c r="J110" s="3497"/>
      <c r="K110" s="3497"/>
      <c r="L110" s="3497"/>
      <c r="M110" s="3497"/>
      <c r="N110" s="3497"/>
      <c r="O110" s="3497"/>
      <c r="P110" s="3497"/>
      <c r="Q110" s="3497"/>
      <c r="R110" s="3498"/>
      <c r="S110" s="3257">
        <v>4500</v>
      </c>
      <c r="T110" s="3258"/>
      <c r="V110" s="849"/>
      <c r="W110" s="3384"/>
      <c r="X110" s="3385"/>
      <c r="Y110" s="3499"/>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6930</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6708</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6277</v>
      </c>
      <c r="C112" s="3470" t="s">
        <v>6723</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6709</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6277</v>
      </c>
      <c r="C113" s="3472" t="s">
        <v>6723</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135</v>
      </c>
      <c r="AF113" s="1934">
        <f>IF($AD$105="Income Averaging",AD113*'DCA Underwriting Assumptions'!$Q$61,AD113*'DCA Underwriting Assumptions'!$Q$60)</f>
        <v>108000</v>
      </c>
      <c r="AZ113" s="1968" t="s">
        <v>6388</v>
      </c>
      <c r="BA113" s="1706">
        <v>113</v>
      </c>
    </row>
    <row r="114" spans="1:53" s="144" customFormat="1" ht="12.6" customHeight="1" thickTop="1">
      <c r="F114" s="281" t="s">
        <v>184</v>
      </c>
      <c r="G114" s="3370">
        <f>SUM(G105:G113)</f>
        <v>233200</v>
      </c>
      <c r="H114" s="3371"/>
      <c r="J114" s="283"/>
      <c r="K114" s="283"/>
      <c r="L114" s="828"/>
      <c r="M114" s="283"/>
      <c r="N114" s="283"/>
      <c r="P114" s="283"/>
      <c r="Q114" s="283"/>
      <c r="S114" s="3370">
        <f>SUM(S105:S113)</f>
        <v>233200</v>
      </c>
      <c r="T114" s="3371"/>
      <c r="V114" s="851">
        <f>SUM(V105:V113)</f>
        <v>0</v>
      </c>
      <c r="W114" s="3390"/>
      <c r="X114" s="3391"/>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135</v>
      </c>
      <c r="AF115" s="1935">
        <f>SUM(AF113:AF114)</f>
        <v>108000</v>
      </c>
      <c r="AZ115" s="1959"/>
      <c r="BA115" s="1706">
        <v>115</v>
      </c>
    </row>
    <row r="116" spans="1:53" s="144" customFormat="1" ht="12.6" customHeight="1">
      <c r="B116" s="144" t="s">
        <v>267</v>
      </c>
      <c r="G116" s="3269">
        <v>35000</v>
      </c>
      <c r="H116" s="3270"/>
      <c r="J116" s="3461"/>
      <c r="K116" s="3461"/>
      <c r="L116" s="828"/>
      <c r="M116" s="3461"/>
      <c r="N116" s="3461"/>
      <c r="P116" s="3461"/>
      <c r="Q116" s="3461"/>
      <c r="S116" s="3269">
        <v>35000</v>
      </c>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6277</v>
      </c>
      <c r="C119" s="3453" t="s">
        <v>6723</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35000</v>
      </c>
      <c r="H120" s="3371"/>
      <c r="J120" s="3461"/>
      <c r="K120" s="3461"/>
      <c r="L120" s="828"/>
      <c r="M120" s="3461"/>
      <c r="N120" s="3461"/>
      <c r="P120" s="3461"/>
      <c r="Q120" s="3461"/>
      <c r="S120" s="3370">
        <f>SUM(S116:S119)</f>
        <v>35000</v>
      </c>
      <c r="T120" s="3371"/>
      <c r="V120" s="851">
        <f>SUM(V116:V119)</f>
        <v>0</v>
      </c>
      <c r="W120" s="3388"/>
      <c r="X120" s="3389"/>
      <c r="AC120" s="3494" t="s">
        <v>3924</v>
      </c>
      <c r="AD120" s="3494" t="s">
        <v>3925</v>
      </c>
      <c r="AE120" s="3340" t="s">
        <v>3928</v>
      </c>
      <c r="AF120" s="3489" t="s">
        <v>3926</v>
      </c>
      <c r="AG120" s="3340" t="s">
        <v>3917</v>
      </c>
      <c r="AH120" s="3331" t="s">
        <v>6744</v>
      </c>
      <c r="AI120" s="3331"/>
      <c r="AZ120" s="1959"/>
      <c r="BA120" s="1706">
        <v>120</v>
      </c>
    </row>
    <row r="121" spans="1:53" s="144" customFormat="1" ht="13.35"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495"/>
      <c r="AD121" s="3495"/>
      <c r="AE121" s="3139"/>
      <c r="AF121" s="3490"/>
      <c r="AG121" s="3340"/>
      <c r="AH121" s="3331"/>
      <c r="AI121" s="3331"/>
      <c r="AK121" s="44"/>
      <c r="AZ121" s="1959" t="s">
        <v>6390</v>
      </c>
      <c r="BA121" s="1706">
        <v>121</v>
      </c>
    </row>
    <row r="122" spans="1:53" s="144" customFormat="1" ht="12.6" customHeight="1">
      <c r="B122" s="144" t="s">
        <v>1724</v>
      </c>
      <c r="F122" s="323">
        <f>IF($G$127=0,0,G122/$G$127)</f>
        <v>1</v>
      </c>
      <c r="G122" s="3458">
        <v>2000000</v>
      </c>
      <c r="H122" s="3458"/>
      <c r="J122" s="3459"/>
      <c r="K122" s="3460"/>
      <c r="L122" s="282"/>
      <c r="M122" s="3459"/>
      <c r="N122" s="3460"/>
      <c r="P122" s="3459">
        <f>G122</f>
        <v>2000000</v>
      </c>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2000000</v>
      </c>
      <c r="AG122" s="3344">
        <f>'DCA Underwriting Assumptions'!$Q$74</f>
        <v>2000000</v>
      </c>
      <c r="AH122" s="3332">
        <f>MIN(AF122,AG122)</f>
        <v>2000000</v>
      </c>
      <c r="AI122" s="3333"/>
      <c r="AZ122" s="1959"/>
      <c r="BA122" s="1706">
        <v>122</v>
      </c>
    </row>
    <row r="123" spans="1:53" s="144" customFormat="1" ht="12.6" customHeight="1">
      <c r="B123" s="144" t="s">
        <v>3413</v>
      </c>
      <c r="F123" s="949">
        <v>1410148</v>
      </c>
      <c r="G123" s="241" t="s">
        <v>6724</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43"/>
      <c r="AG124" s="3346"/>
      <c r="AH124" s="3336"/>
      <c r="AI124" s="3337"/>
      <c r="AZ124" s="1959"/>
      <c r="BA124" s="1706">
        <v>124</v>
      </c>
    </row>
    <row r="125" spans="1:53" s="144" customFormat="1" ht="12.6" customHeight="1">
      <c r="B125" s="144" t="s">
        <v>3164</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2887500</v>
      </c>
      <c r="AG125" s="3341">
        <f>'DCA Underwriting Assumptions'!$Q$75</f>
        <v>3500000</v>
      </c>
      <c r="AH125" s="3332">
        <f>MIN(AF125,AG125)</f>
        <v>2887500</v>
      </c>
      <c r="AI125" s="3333"/>
      <c r="AZ125" s="1959"/>
      <c r="BA125" s="1706">
        <v>125</v>
      </c>
    </row>
    <row r="126" spans="1:53" s="144" customFormat="1" ht="12.6" customHeight="1" thickBot="1">
      <c r="B126" s="144" t="s">
        <v>1717</v>
      </c>
      <c r="F126" s="323">
        <f>IF($G$127=0,0,G126/$G$127)</f>
        <v>0</v>
      </c>
      <c r="G126" s="3261"/>
      <c r="H126" s="3262"/>
      <c r="J126" s="3261"/>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3923</v>
      </c>
      <c r="E127" s="1954">
        <f>IF(AF122+AF125=0,"Fill in Rent Chart!",IF(F121="9%",AH122,IF(F121="4%",AH125,"Select App Type!")))</f>
        <v>2000000</v>
      </c>
      <c r="F127" s="281" t="s">
        <v>184</v>
      </c>
      <c r="G127" s="3370">
        <f>SUM(G122:G126)</f>
        <v>2000000</v>
      </c>
      <c r="H127" s="3455"/>
      <c r="J127" s="3370">
        <f>SUM(J122:J126)</f>
        <v>0</v>
      </c>
      <c r="K127" s="3455"/>
      <c r="L127" s="828"/>
      <c r="M127" s="3370">
        <f>SUM(M122:M126)</f>
        <v>0</v>
      </c>
      <c r="N127" s="3455"/>
      <c r="P127" s="3370">
        <f>SUM(P122:P126)</f>
        <v>2000000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1072500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 customHeight="1">
      <c r="B129" s="144" t="s">
        <v>241</v>
      </c>
      <c r="G129" s="3269"/>
      <c r="H129" s="3270"/>
      <c r="J129" s="291"/>
      <c r="K129" s="291"/>
      <c r="L129" s="291"/>
      <c r="M129" s="291"/>
      <c r="N129" s="291"/>
      <c r="P129" s="291"/>
      <c r="Q129" s="291"/>
      <c r="S129" s="3269"/>
      <c r="T129" s="3270"/>
      <c r="V129" s="849"/>
      <c r="W129" s="3384"/>
      <c r="X129" s="3385"/>
      <c r="Z129" s="1306"/>
      <c r="AB129" s="44"/>
      <c r="AC129"/>
      <c r="AD129"/>
      <c r="AF129"/>
      <c r="AG129"/>
      <c r="AH129"/>
      <c r="AI129"/>
      <c r="AJ129"/>
      <c r="AK129"/>
      <c r="AZ129" s="1968" t="s">
        <v>6392</v>
      </c>
      <c r="BA129" s="1706">
        <v>129</v>
      </c>
    </row>
    <row r="130" spans="1:53" s="144" customFormat="1" ht="12.6" customHeight="1">
      <c r="B130" s="144" t="s">
        <v>1436</v>
      </c>
      <c r="F130" s="365">
        <f>+'Part V-Revenues &amp; Expenses'!$Q$228*('DCA Underwriting Assumptions'!$Q$89/12)</f>
        <v>214569.001984</v>
      </c>
      <c r="G130" s="3257"/>
      <c r="H130" s="3258"/>
      <c r="J130" s="765" t="str">
        <f>IF(E130&gt;G130,"WARNING! Rent-Up Reserves proposed is below minimum - add comment.","")</f>
        <v/>
      </c>
      <c r="K130" s="765"/>
      <c r="L130" s="828"/>
      <c r="M130" s="750"/>
      <c r="N130" s="750"/>
      <c r="P130" s="750"/>
      <c r="Q130" s="750"/>
      <c r="S130" s="3257"/>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746519.80646946817</v>
      </c>
      <c r="G131" s="3257">
        <v>745520</v>
      </c>
      <c r="H131" s="3258"/>
      <c r="J131" s="765" t="str">
        <f>IF(E131&gt;G131,"WARNING! ODR proposed is below minimum - add comment.","")</f>
        <v/>
      </c>
      <c r="K131" s="290"/>
      <c r="L131" s="290"/>
      <c r="M131" s="290"/>
      <c r="N131" s="290"/>
      <c r="P131" s="290"/>
      <c r="Q131" s="290"/>
      <c r="S131" s="3257">
        <v>745520</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6393</v>
      </c>
      <c r="BA132" s="1706">
        <v>132</v>
      </c>
    </row>
    <row r="133" spans="1:53" s="144" customFormat="1" ht="12.6" customHeight="1">
      <c r="B133" s="144" t="s">
        <v>1171</v>
      </c>
      <c r="E133" s="658" t="s">
        <v>3138</v>
      </c>
      <c r="F133" s="365">
        <f>IF('Part V-Revenues &amp; Expenses'!$P$67=0,0,G133/'Part V-Revenues &amp; Expenses'!$P$67)</f>
        <v>370.37037037037038</v>
      </c>
      <c r="G133" s="3257">
        <v>50000</v>
      </c>
      <c r="H133" s="3258"/>
      <c r="J133" s="3269"/>
      <c r="K133" s="3270"/>
      <c r="L133" s="828"/>
      <c r="M133" s="3269"/>
      <c r="N133" s="3270"/>
      <c r="P133" s="3269">
        <v>50000</v>
      </c>
      <c r="Q133" s="3270"/>
      <c r="S133" s="3257"/>
      <c r="T133" s="3258"/>
      <c r="V133" s="849"/>
      <c r="W133" s="3384"/>
      <c r="X133" s="3385"/>
      <c r="AZ133" s="1968" t="s">
        <v>6394</v>
      </c>
      <c r="BA133" s="1706">
        <v>133</v>
      </c>
    </row>
    <row r="134" spans="1:53" s="144" customFormat="1" ht="12.6" customHeight="1" thickBot="1">
      <c r="A134" s="303" t="str">
        <f>IF(AND(G134&gt;0,OR(C134="",C134="&lt;Enter detailed description here; use Comments section if needed&gt;")),"X","")</f>
        <v/>
      </c>
      <c r="B134" s="147" t="s">
        <v>6277</v>
      </c>
      <c r="C134" s="3453" t="s">
        <v>6723</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795520</v>
      </c>
      <c r="H135" s="3371"/>
      <c r="J135" s="3370">
        <f>SUM(J133:J134)</f>
        <v>0</v>
      </c>
      <c r="K135" s="3371"/>
      <c r="L135" s="828"/>
      <c r="M135" s="3370">
        <f>SUM(M133:M134)</f>
        <v>0</v>
      </c>
      <c r="N135" s="3371"/>
      <c r="P135" s="3370">
        <f>SUM(P133:P134)</f>
        <v>50000</v>
      </c>
      <c r="Q135" s="3371"/>
      <c r="S135" s="3370">
        <f>SUM(S129:S134)</f>
        <v>745520</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v>608000</v>
      </c>
      <c r="H142" s="3270"/>
      <c r="J142" s="3269"/>
      <c r="K142" s="3270"/>
      <c r="L142" s="282"/>
      <c r="M142" s="3269"/>
      <c r="N142" s="3270"/>
      <c r="P142" s="3269">
        <v>608000</v>
      </c>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6277</v>
      </c>
      <c r="C143" s="3453" t="s">
        <v>6723</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608000</v>
      </c>
      <c r="H144" s="3371"/>
      <c r="J144" s="3370">
        <f>SUM(J142:J143)</f>
        <v>0</v>
      </c>
      <c r="K144" s="3371"/>
      <c r="L144" s="828"/>
      <c r="M144" s="3370">
        <f>SUM(M142:M143)</f>
        <v>0</v>
      </c>
      <c r="N144" s="3371"/>
      <c r="P144" s="3370">
        <f>SUM(P142:P143)</f>
        <v>608000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355">
        <f>G18+G24+G28+G36+G41+G46+G55+G73+G86+G92+G103+G114+G120+G127+G135+G144</f>
        <v>31347921.201668195</v>
      </c>
      <c r="H146" s="3356"/>
      <c r="J146" s="3355">
        <f>J18+J24+J28+J36+J41+J46+J55+J73+J86+J92+J103+J114+J120+J127+J135+J144</f>
        <v>0</v>
      </c>
      <c r="K146" s="3356"/>
      <c r="M146" s="3355">
        <f>M18+M24+M28+M36+M41+M46+M55+M73+M86+M92+M103+M114+M120+M127+M135+M144</f>
        <v>0</v>
      </c>
      <c r="N146" s="3356"/>
      <c r="P146" s="3355">
        <f>P18+P24+P28+P36+P41+P46+P55+P73+P86+P92+P103+P114+P120+P127+P135+P144</f>
        <v>20545854.112883147</v>
      </c>
      <c r="Q146" s="3356"/>
      <c r="S146" s="3355">
        <f>S18+S24+S28+S36+S41+S46+S55+S73+S86+S92+S103+S114+S120+S127+S135+S144</f>
        <v>10731120</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232206.8237160607</v>
      </c>
      <c r="E148" s="3367"/>
      <c r="F148" s="390" t="s">
        <v>2487</v>
      </c>
      <c r="G148" s="3368">
        <f>IF('Part V-Revenues &amp; Expenses'!$K$175=0,0,G146/'Part V-Revenues &amp; Expenses'!$K$175)</f>
        <v>189.69194165250607</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v>2356880.4258519793</v>
      </c>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2356880.4258519793</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0</v>
      </c>
      <c r="K162" s="3415"/>
      <c r="M162" s="3502">
        <f>M146</f>
        <v>0</v>
      </c>
      <c r="N162" s="3503"/>
      <c r="P162" s="3413">
        <f>P146</f>
        <v>20545854.112883147</v>
      </c>
      <c r="Q162" s="3415"/>
      <c r="R162" s="3373" t="s">
        <v>3775</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2356880.4258519793</v>
      </c>
      <c r="Q163" s="3418"/>
      <c r="R163" s="3373"/>
      <c r="S163" s="3374"/>
      <c r="T163" s="3374"/>
      <c r="U163" s="1169"/>
      <c r="V163" s="849"/>
      <c r="W163" s="3384"/>
      <c r="X163" s="3385"/>
      <c r="AZ163" s="1968"/>
      <c r="BA163" s="1706">
        <v>163</v>
      </c>
    </row>
    <row r="164" spans="1:53" s="144" customFormat="1" ht="14.1" customHeight="1">
      <c r="B164" s="144" t="s">
        <v>2053</v>
      </c>
      <c r="J164" s="3416">
        <f>J162-J163</f>
        <v>0</v>
      </c>
      <c r="K164" s="3418"/>
      <c r="M164" s="3425">
        <f>M162</f>
        <v>0</v>
      </c>
      <c r="N164" s="3427"/>
      <c r="P164" s="3416">
        <f>P162-P163</f>
        <v>18188973.687031168</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7103</v>
      </c>
      <c r="I165" s="3433"/>
      <c r="J165" s="3434"/>
      <c r="K165" s="3435"/>
      <c r="M165" s="3436"/>
      <c r="N165" s="3436"/>
      <c r="P165" s="3434">
        <v>1.3</v>
      </c>
      <c r="Q165" s="3435"/>
      <c r="R165" s="3375" t="s">
        <v>3205</v>
      </c>
      <c r="S165" s="3376"/>
      <c r="T165" s="3377"/>
      <c r="U165" s="1170"/>
      <c r="V165" s="849"/>
      <c r="W165" s="3384"/>
      <c r="X165" s="3385"/>
      <c r="AZ165" s="1968"/>
      <c r="BA165" s="1706">
        <v>165</v>
      </c>
    </row>
    <row r="166" spans="1:53" s="144" customFormat="1" ht="14.1" customHeight="1">
      <c r="B166" s="144" t="s">
        <v>1903</v>
      </c>
      <c r="J166" s="3416">
        <f>J164*J165</f>
        <v>0</v>
      </c>
      <c r="K166" s="3418"/>
      <c r="M166" s="3413">
        <f>+M164</f>
        <v>0</v>
      </c>
      <c r="N166" s="3415"/>
      <c r="P166" s="3416">
        <f>P164*P165</f>
        <v>23645665.793140519</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1895</v>
      </c>
      <c r="J168" s="3416">
        <f>J166*J167</f>
        <v>0</v>
      </c>
      <c r="K168" s="3418"/>
      <c r="M168" s="3416">
        <f>M166*M167</f>
        <v>0</v>
      </c>
      <c r="N168" s="3418"/>
      <c r="P168" s="3416">
        <f>P166*P167</f>
        <v>23645665.793140519</v>
      </c>
      <c r="Q168" s="3418"/>
      <c r="V168" s="849"/>
      <c r="W168" s="3384"/>
      <c r="X168" s="3385"/>
      <c r="AZ168" s="1968"/>
      <c r="BA168" s="1706">
        <v>168</v>
      </c>
    </row>
    <row r="169" spans="1:53" s="144" customFormat="1" ht="14.1" customHeight="1">
      <c r="B169" s="144" t="s">
        <v>1896</v>
      </c>
      <c r="J169" s="3434"/>
      <c r="K169" s="3435"/>
      <c r="M169" s="3434"/>
      <c r="N169" s="3435"/>
      <c r="P169" s="3434">
        <v>0.09</v>
      </c>
      <c r="Q169" s="3435"/>
      <c r="V169" s="849"/>
      <c r="W169" s="3384"/>
      <c r="X169" s="3385"/>
      <c r="AZ169" s="1968"/>
      <c r="BA169" s="1706">
        <v>169</v>
      </c>
    </row>
    <row r="170" spans="1:53" s="144" customFormat="1" ht="14.1" customHeight="1" thickBot="1">
      <c r="B170" s="144" t="s">
        <v>2340</v>
      </c>
      <c r="J170" s="3439">
        <f>J168*J169</f>
        <v>0</v>
      </c>
      <c r="K170" s="3440"/>
      <c r="M170" s="3439">
        <f>M168*M169</f>
        <v>0</v>
      </c>
      <c r="N170" s="3440"/>
      <c r="P170" s="3439">
        <f>P168*P169</f>
        <v>2128109.9213826465</v>
      </c>
      <c r="Q170" s="3440"/>
      <c r="V170" s="856"/>
      <c r="W170" s="3386"/>
      <c r="X170" s="3387"/>
      <c r="AZ170" s="1968"/>
      <c r="BA170" s="1706">
        <v>170</v>
      </c>
    </row>
    <row r="171" spans="1:53" s="144" customFormat="1" ht="14.1" customHeight="1" thickBot="1">
      <c r="B171" s="243" t="s">
        <v>1339</v>
      </c>
      <c r="J171" s="3207">
        <f>ROUNDDOWN(J170+M170+P170,0)</f>
        <v>2128109</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413">
        <f>G146</f>
        <v>31347921.201668195</v>
      </c>
      <c r="K176" s="3414"/>
      <c r="L176" s="3415"/>
      <c r="N176" s="3443" t="s">
        <v>6718</v>
      </c>
      <c r="O176" s="3444"/>
      <c r="P176" s="3444"/>
      <c r="Q176" s="3445"/>
      <c r="S176" s="3409" t="s">
        <v>3188</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13525392.766668987</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17822528.434999209</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2649</v>
      </c>
      <c r="V179" s="849"/>
      <c r="W179" s="3384"/>
      <c r="X179" s="3385"/>
      <c r="AZ179" s="1968"/>
      <c r="BA179" s="1706">
        <v>179</v>
      </c>
    </row>
    <row r="180" spans="1:53" s="144" customFormat="1" ht="14.1" customHeight="1">
      <c r="B180" s="144" t="s">
        <v>1210</v>
      </c>
      <c r="J180" s="3425">
        <f>J178/10</f>
        <v>1782252.8434999208</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1.56</v>
      </c>
      <c r="K182" s="3401"/>
      <c r="L182" s="3402"/>
      <c r="M182" s="248" t="s">
        <v>1212</v>
      </c>
      <c r="N182" s="3403">
        <v>0.83</v>
      </c>
      <c r="O182" s="3404"/>
      <c r="P182" s="248" t="s">
        <v>570</v>
      </c>
      <c r="Q182" s="3403">
        <v>0.73</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1142469</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3406">
        <v>1105000</v>
      </c>
      <c r="K187" s="3407"/>
      <c r="L187" s="3408"/>
      <c r="Q187" s="147" t="s">
        <v>6249</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4075</v>
      </c>
      <c r="J189" s="3406">
        <v>1105000</v>
      </c>
      <c r="K189" s="3407"/>
      <c r="L189" s="3408"/>
      <c r="M189" s="3442" t="str">
        <f>IF(J187=0,"",IF(J189&gt;J187,"Request can't exceed Maximum - REVISE (Try Round Down)!",""))</f>
        <v/>
      </c>
      <c r="N189" s="3442"/>
      <c r="O189" s="3442"/>
      <c r="P189" s="3442"/>
      <c r="Q189" s="241" t="s">
        <v>6545</v>
      </c>
      <c r="R189" s="147"/>
      <c r="S189" s="3500" t="str">
        <f>'Part VIII Scoring Criteria'!$F$36</f>
        <v>Preservation</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4076</v>
      </c>
      <c r="D191" s="145"/>
      <c r="E191" s="145"/>
      <c r="F191" s="246"/>
      <c r="J191" s="3428">
        <f>IF(J189="",0,+MIN(J187,J189))</f>
        <v>1105000</v>
      </c>
      <c r="K191" s="3429"/>
      <c r="L191" s="3430"/>
      <c r="M191" s="3442"/>
      <c r="N191" s="3442"/>
      <c r="O191" s="3442"/>
      <c r="P191" s="3442"/>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3229</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J10" sqref="J10"/>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Richmond Summit  -  Augusta  -  Richmond,  County</v>
      </c>
      <c r="B1" s="3520"/>
      <c r="C1" s="3520"/>
      <c r="D1" s="3520"/>
      <c r="E1" s="3520"/>
      <c r="F1" s="3520"/>
      <c r="G1" s="3520"/>
      <c r="H1" s="3520"/>
      <c r="I1" s="722"/>
      <c r="J1" s="722"/>
      <c r="K1" s="722"/>
      <c r="L1" s="722"/>
      <c r="M1" s="722"/>
      <c r="N1" s="722"/>
    </row>
    <row r="2" spans="1:14" ht="9" customHeight="1"/>
    <row r="3" spans="1:14" ht="57" customHeight="1">
      <c r="A3" s="3521" t="s">
        <v>3215</v>
      </c>
      <c r="B3" s="3522"/>
      <c r="C3" s="3522"/>
      <c r="D3" s="3522"/>
      <c r="E3" s="3522"/>
      <c r="F3" s="3522"/>
      <c r="G3" s="3522"/>
      <c r="H3" s="3523"/>
    </row>
    <row r="4" spans="1:14" ht="6" customHeight="1"/>
    <row r="5" spans="1:14" ht="38.25" customHeight="1">
      <c r="A5" s="3524" t="s">
        <v>3278</v>
      </c>
      <c r="B5" s="3524"/>
      <c r="C5" s="3524"/>
      <c r="D5" s="3524"/>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PCNA</v>
      </c>
      <c r="B9" s="3517"/>
      <c r="C9" s="3517"/>
      <c r="D9" s="3518"/>
      <c r="F9" s="3513" t="s">
        <v>7051</v>
      </c>
      <c r="G9" s="726"/>
      <c r="H9" s="3513" t="s">
        <v>7122</v>
      </c>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3210</v>
      </c>
      <c r="B12" s="734">
        <f>'Part III-A-Uses of Funds'!$G$15</f>
        <v>25000</v>
      </c>
      <c r="C12" s="735" t="s">
        <v>1665</v>
      </c>
      <c r="D12" s="734">
        <f>'Part III-A-Uses of Funds'!$J$15+'Part III-A-Uses of Funds'!$M$15+'Part III-A-Uses of Funds'!$P$15</f>
        <v>25000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Historical Consultant Report</v>
      </c>
      <c r="B14" s="3517"/>
      <c r="C14" s="3517"/>
      <c r="D14" s="3518"/>
      <c r="F14" s="3514" t="s">
        <v>7052</v>
      </c>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3210</v>
      </c>
      <c r="B17" s="734">
        <f>'Part III-A-Uses of Funds'!$G$16</f>
        <v>50000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3210</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3209</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3210</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3210</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3210</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3210</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3210</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3211</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3210</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3210</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3212</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3210</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3210</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3213</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3210</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7" sqref="I7:M7"/>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Richmond Summit, Augusta, Richmond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6739</v>
      </c>
      <c r="I3" s="3551" t="str">
        <f>VLOOKUP('Part I-Project Identification'!$J$26,'DCA Underwriting Assumptions'!$G$141:$H$300,2)</f>
        <v>Local PHA</v>
      </c>
      <c r="J3" s="3552"/>
    </row>
    <row r="4" spans="1:25" s="6" customFormat="1" ht="6" customHeight="1"/>
    <row r="5" spans="1:25">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0" t="s">
        <v>7048</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9">
        <v>44256</v>
      </c>
      <c r="J8" s="3544"/>
      <c r="K8" s="5" t="s">
        <v>505</v>
      </c>
      <c r="L8" s="3545" t="s">
        <v>7049</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1491</v>
      </c>
      <c r="E12" s="3534"/>
      <c r="F12" s="207"/>
      <c r="G12" s="207" t="s">
        <v>416</v>
      </c>
      <c r="H12" s="804"/>
      <c r="I12" s="1266"/>
      <c r="J12" s="1266">
        <v>0</v>
      </c>
      <c r="K12" s="1266"/>
      <c r="L12" s="1266"/>
      <c r="M12" s="1266"/>
      <c r="O12" s="839"/>
      <c r="P12" s="839"/>
      <c r="Q12" s="839"/>
      <c r="R12" s="839"/>
      <c r="S12" s="839"/>
      <c r="T12" s="839"/>
      <c r="U12" s="839"/>
    </row>
    <row r="13" spans="1:25" s="6" customFormat="1" ht="12" customHeight="1">
      <c r="B13" s="1273" t="s">
        <v>1492</v>
      </c>
      <c r="C13" s="1274"/>
      <c r="D13" s="3535" t="s">
        <v>1491</v>
      </c>
      <c r="E13" s="3536"/>
      <c r="F13" s="208"/>
      <c r="G13" s="208" t="s">
        <v>416</v>
      </c>
      <c r="H13" s="803"/>
      <c r="I13" s="1267"/>
      <c r="J13" s="1267"/>
      <c r="K13" s="1267">
        <v>0</v>
      </c>
      <c r="L13" s="1268"/>
      <c r="M13" s="1268"/>
      <c r="O13" s="3525" t="s">
        <v>3277</v>
      </c>
      <c r="P13" s="3525"/>
      <c r="Q13" s="3525"/>
    </row>
    <row r="14" spans="1:25" s="6" customFormat="1" ht="12" customHeight="1">
      <c r="B14" s="1275" t="s">
        <v>1493</v>
      </c>
      <c r="C14" s="1276"/>
      <c r="D14" s="3535" t="s">
        <v>1491</v>
      </c>
      <c r="E14" s="3536"/>
      <c r="F14" s="208"/>
      <c r="G14" s="208" t="s">
        <v>416</v>
      </c>
      <c r="H14" s="203"/>
      <c r="I14" s="1267"/>
      <c r="J14" s="1267"/>
      <c r="K14" s="1267"/>
      <c r="L14" s="1268"/>
      <c r="M14" s="1268"/>
      <c r="O14" s="3525"/>
      <c r="P14" s="3525"/>
      <c r="Q14" s="3525"/>
    </row>
    <row r="15" spans="1:25" s="6" customFormat="1" ht="12" customHeight="1">
      <c r="B15" s="1277" t="s">
        <v>440</v>
      </c>
      <c r="C15" s="1278"/>
      <c r="D15" s="1277" t="s">
        <v>1491</v>
      </c>
      <c r="E15" s="204"/>
      <c r="F15" s="208"/>
      <c r="G15" s="208" t="s">
        <v>416</v>
      </c>
      <c r="H15" s="802"/>
      <c r="I15" s="1267"/>
      <c r="J15" s="1267"/>
      <c r="K15" s="1267"/>
      <c r="L15" s="1268"/>
      <c r="M15" s="1268"/>
      <c r="O15" s="3525"/>
      <c r="P15" s="3525"/>
      <c r="Q15" s="3525"/>
    </row>
    <row r="16" spans="1:25" s="6" customFormat="1" ht="12" customHeight="1">
      <c r="B16" s="1279" t="s">
        <v>3271</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3272</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3273</v>
      </c>
      <c r="C18" s="1276"/>
      <c r="D18" s="1275" t="s">
        <v>1491</v>
      </c>
      <c r="E18" s="801"/>
      <c r="F18" s="208"/>
      <c r="G18" s="208" t="s">
        <v>416</v>
      </c>
      <c r="H18" s="203"/>
      <c r="I18" s="1267"/>
      <c r="J18" s="1267"/>
      <c r="K18" s="1267"/>
      <c r="L18" s="1268"/>
      <c r="M18" s="1268"/>
      <c r="O18" s="3525"/>
      <c r="P18" s="3525"/>
      <c r="Q18" s="3525"/>
    </row>
    <row r="19" spans="1:25" s="6" customFormat="1" ht="12" customHeight="1">
      <c r="B19" s="1277" t="s">
        <v>1292</v>
      </c>
      <c r="C19" s="1278"/>
      <c r="D19" s="1283" t="s">
        <v>3076</v>
      </c>
      <c r="E19" s="1265" t="s">
        <v>2652</v>
      </c>
      <c r="F19" s="208"/>
      <c r="G19" s="208" t="s">
        <v>416</v>
      </c>
      <c r="H19" s="802"/>
      <c r="I19" s="1267"/>
      <c r="J19" s="1267"/>
      <c r="K19" s="1267"/>
      <c r="L19" s="1268"/>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t="s">
        <v>906</v>
      </c>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t="s">
        <v>906</v>
      </c>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3277</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3271</v>
      </c>
      <c r="C33" s="1274"/>
      <c r="D33" s="1273" t="s">
        <v>1491</v>
      </c>
      <c r="E33" s="801"/>
      <c r="F33" s="208"/>
      <c r="G33" s="208"/>
      <c r="H33" s="803"/>
      <c r="I33" s="1267"/>
      <c r="J33" s="1267"/>
      <c r="K33" s="1267"/>
      <c r="L33" s="1268"/>
      <c r="M33" s="1268"/>
      <c r="O33" s="3525"/>
      <c r="P33" s="3525"/>
      <c r="Q33" s="3525"/>
    </row>
    <row r="34" spans="1:19" s="6" customFormat="1" ht="12" customHeight="1">
      <c r="B34" s="1279" t="s">
        <v>3272</v>
      </c>
      <c r="C34" s="1274"/>
      <c r="D34" s="1273" t="s">
        <v>1491</v>
      </c>
      <c r="E34" s="801"/>
      <c r="F34" s="208"/>
      <c r="G34" s="208"/>
      <c r="H34" s="803"/>
      <c r="I34" s="1267"/>
      <c r="J34" s="1267"/>
      <c r="K34" s="1267"/>
      <c r="L34" s="1268"/>
      <c r="M34" s="1268"/>
      <c r="O34" s="3525"/>
      <c r="P34" s="3525"/>
      <c r="Q34" s="3525"/>
    </row>
    <row r="35" spans="1:19" s="6" customFormat="1" ht="12" customHeight="1">
      <c r="B35" s="1280" t="s">
        <v>3273</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7050</v>
      </c>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Lauren Valdez</cp:lastModifiedBy>
  <cp:lastPrinted>2023-04-28T17:11:20Z</cp:lastPrinted>
  <dcterms:created xsi:type="dcterms:W3CDTF">2005-09-15T20:51:37Z</dcterms:created>
  <dcterms:modified xsi:type="dcterms:W3CDTF">2023-05-19T19:14:34Z</dcterms:modified>
</cp:coreProperties>
</file>