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d.docs.live.net/a1b9a5fa4d8acfbc/Documents/Georgia/2023/2023-0xxDogwdTrl2AppFldr/"/>
    </mc:Choice>
  </mc:AlternateContent>
  <xr:revisionPtr revIDLastSave="19" documentId="8_{62144096-CC69-4321-93BD-D93F7D1CC0E7}" xr6:coauthVersionLast="47" xr6:coauthVersionMax="47" xr10:uidLastSave="{7CC4C03E-0788-41B8-8A62-B36FED53D2F6}"/>
  <workbookProtection workbookAlgorithmName="SHA-512" workbookHashValue="v70Tp6Of30WbIHn2aXJQbU4I7DX0EQwbCAYEFlIstVZn+oSYdfZvfDeDKiE20+aFPaBukCvRNDFlth/S/9mEGw==" workbookSaltValue="tj4P3B3cTgcc4HGdVjioeQ==" workbookSpinCount="100000" lockStructure="1"/>
  <bookViews>
    <workbookView xWindow="40920" yWindow="6495" windowWidth="24240" windowHeight="13140"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 i="74" l="1"/>
  <c r="E63" i="74" s="1"/>
  <c r="F63" i="74" s="1"/>
  <c r="C63" i="74"/>
  <c r="B63" i="74"/>
  <c r="D31" i="74"/>
  <c r="E31" i="74" s="1"/>
  <c r="F31" i="74" s="1"/>
  <c r="G31" i="74" s="1"/>
  <c r="H31" i="74" s="1"/>
  <c r="I31" i="74" s="1"/>
  <c r="J31" i="74" s="1"/>
  <c r="K31" i="74" s="1"/>
  <c r="C31" i="74"/>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1245" i="103"/>
  <c r="P86" i="102"/>
  <c r="P1237" i="103" s="1"/>
  <c r="O1245" i="103"/>
  <c r="O86" i="102"/>
  <c r="O1237" i="103" s="1"/>
  <c r="AY1575" i="103" s="1"/>
  <c r="BG423" i="102"/>
  <c r="BF440" i="102"/>
  <c r="D1187" i="103"/>
  <c r="BH449" i="102"/>
  <c r="BH1600" i="103" s="1"/>
  <c r="O1219" i="103"/>
  <c r="O66" i="102"/>
  <c r="O1217" i="103" s="1"/>
  <c r="BF432" i="102"/>
  <c r="P1351" i="103"/>
  <c r="BF1583" i="103" s="1"/>
  <c r="E21" i="102"/>
  <c r="E1172" i="103" s="1"/>
  <c r="O1351" i="103"/>
  <c r="R312" i="102"/>
  <c r="O1463" i="103"/>
  <c r="AY1591" i="103" s="1"/>
  <c r="P66" i="102"/>
  <c r="P1217" i="103" s="1"/>
  <c r="BG1573" i="103" s="1"/>
  <c r="AH449" i="102"/>
  <c r="AH1600" i="103" s="1"/>
  <c r="C1187" i="103"/>
  <c r="AJ449" i="102"/>
  <c r="AJ1600" i="103" s="1"/>
  <c r="E34" i="102"/>
  <c r="AI449" i="102"/>
  <c r="A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1273" i="103"/>
  <c r="O179" i="102"/>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05" i="103" l="1"/>
  <c r="Q607" i="103"/>
  <c r="M523" i="103"/>
  <c r="M526" i="103"/>
  <c r="M529" i="103"/>
  <c r="M517" i="103"/>
  <c r="M618" i="103"/>
  <c r="M535"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88" i="103"/>
  <c r="H76" i="74"/>
  <c r="H783" i="103" s="1"/>
  <c r="I76" i="74"/>
  <c r="I783" i="103" s="1"/>
  <c r="J76" i="74"/>
  <c r="J783" i="103" s="1"/>
  <c r="K76" i="74"/>
  <c r="K783" i="103" s="1"/>
  <c r="H26" i="74" l="1"/>
  <c r="H733" i="103" s="1"/>
  <c r="I26" i="74"/>
  <c r="I733" i="103" s="1"/>
  <c r="D120" i="74"/>
  <c r="D827" i="103" s="1"/>
  <c r="B26" i="74"/>
  <c r="C75" i="100" s="1"/>
  <c r="J765" i="103"/>
  <c r="B120" i="74"/>
  <c r="B827" i="103" s="1"/>
  <c r="J18" i="75"/>
  <c r="J465" i="103" s="1"/>
  <c r="L465" i="103" s="1"/>
  <c r="M465"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765" i="103"/>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765" i="103"/>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J99" i="74"/>
  <c r="B16" i="87"/>
  <c r="F99" i="74"/>
  <c r="B11" i="87"/>
  <c r="C128" i="74"/>
  <c r="E41" i="87"/>
  <c r="E21" i="87"/>
  <c r="F84" i="92"/>
  <c r="G36" i="74"/>
  <c r="H68" i="74"/>
  <c r="I36" i="74"/>
  <c r="D36" i="74"/>
  <c r="C68" i="74"/>
  <c r="E130" i="74"/>
  <c r="B17" i="87"/>
  <c r="D99" i="74"/>
  <c r="B68" i="74"/>
  <c r="H36" i="74"/>
  <c r="G68" i="74"/>
  <c r="B13" i="87"/>
  <c r="H99" i="74"/>
  <c r="B36" i="87"/>
  <c r="E39" i="87"/>
  <c r="B39" i="87"/>
  <c r="B40" i="87"/>
  <c r="B28" i="87"/>
  <c r="B129" i="74"/>
  <c r="J68" i="74"/>
  <c r="E99" i="74"/>
  <c r="F69" i="74"/>
  <c r="B33" i="87"/>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G51" i="86"/>
  <c r="C52" i="86"/>
  <c r="I31" i="86"/>
  <c r="G52" i="86"/>
  <c r="D51" i="86"/>
  <c r="H51" i="86"/>
  <c r="B32"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P94" i="103" l="1"/>
  <c r="P95" i="103"/>
  <c r="I105" i="103"/>
  <c r="D771" i="103"/>
  <c r="H739" i="103"/>
  <c r="J739" i="103"/>
  <c r="G739" i="103"/>
  <c r="I739" i="103"/>
  <c r="E771" i="103"/>
  <c r="D739" i="103"/>
  <c r="C739" i="103"/>
  <c r="K739" i="103"/>
  <c r="C771" i="103"/>
  <c r="B771" i="103"/>
  <c r="F771" i="103"/>
  <c r="B739" i="103"/>
  <c r="B44" i="74"/>
  <c r="B751" i="103" s="1"/>
  <c r="F739" i="103"/>
  <c r="E739" i="103"/>
  <c r="B733" i="103"/>
  <c r="B10" i="87"/>
  <c r="B40" i="74"/>
  <c r="B747" i="103" s="1"/>
  <c r="B35" i="87"/>
  <c r="B42" i="87"/>
  <c r="B29" i="87"/>
  <c r="B22" i="87"/>
  <c r="B12" i="87"/>
  <c r="B44" i="87"/>
  <c r="B27" i="87"/>
  <c r="B20" i="87"/>
  <c r="B41" i="87"/>
  <c r="B23" i="87"/>
  <c r="B34" i="87"/>
  <c r="B14" i="87"/>
  <c r="B30" i="87"/>
  <c r="B25" i="87"/>
  <c r="B26" i="87"/>
  <c r="J797" i="103"/>
  <c r="I75" i="100"/>
  <c r="I77" i="100" s="1"/>
  <c r="G75" i="100"/>
  <c r="G77" i="100" s="1"/>
  <c r="E75" i="100"/>
  <c r="E77" i="100" s="1"/>
  <c r="C77" i="100"/>
  <c r="K75" i="100"/>
  <c r="K77" i="100" s="1"/>
  <c r="B32" i="87"/>
  <c r="B38" i="87"/>
  <c r="B31" i="87"/>
  <c r="C40" i="74"/>
  <c r="C747" i="103" s="1"/>
  <c r="D10" i="86"/>
  <c r="B43" i="87"/>
  <c r="K733" i="103"/>
  <c r="M496" i="103"/>
  <c r="M497" i="103" s="1"/>
  <c r="Q675" i="103"/>
  <c r="O669" i="103"/>
  <c r="O668" i="103"/>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C44" i="74"/>
  <c r="C751" i="103" s="1"/>
  <c r="D40" i="74"/>
  <c r="D747" i="103" s="1"/>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D44" i="74"/>
  <c r="D751" i="103" s="1"/>
  <c r="E10" i="86"/>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D728" i="103"/>
  <c r="D746" i="103" s="1"/>
  <c r="D39" i="74"/>
  <c r="E728" i="103"/>
  <c r="E746" i="103" s="1"/>
  <c r="E39" i="74"/>
  <c r="F728" i="103"/>
  <c r="F746" i="103" s="1"/>
  <c r="F39" i="74"/>
  <c r="E44" i="74"/>
  <c r="E751" i="103" s="1"/>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F44" i="74"/>
  <c r="F751" i="103" s="1"/>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G44" i="74"/>
  <c r="G751" i="103" s="1"/>
  <c r="E174" i="90"/>
  <c r="E175" i="90" s="1"/>
  <c r="Q247" i="75"/>
  <c r="B23" i="74"/>
  <c r="B730" i="103" s="1"/>
  <c r="Q694" i="103"/>
  <c r="Q682" i="103"/>
  <c r="C66" i="84"/>
  <c r="E66" i="84" s="1"/>
  <c r="N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K87" i="75"/>
  <c r="L87" i="75"/>
  <c r="AF125" i="78"/>
  <c r="AH125" i="78" s="1"/>
  <c r="H19" i="84"/>
  <c r="AF122" i="78"/>
  <c r="C19" i="84"/>
  <c r="H17" i="74"/>
  <c r="H724" i="103" s="1"/>
  <c r="I24" i="74"/>
  <c r="J14" i="74"/>
  <c r="I16" i="74"/>
  <c r="I723" i="103" s="1"/>
  <c r="I15" i="74"/>
  <c r="I722" i="103" s="1"/>
  <c r="I21" i="74"/>
  <c r="J738" i="103" l="1"/>
  <c r="I53" i="82"/>
  <c r="I728" i="103"/>
  <c r="I746" i="103" s="1"/>
  <c r="I39" i="74"/>
  <c r="H44" i="74"/>
  <c r="H751" i="103" s="1"/>
  <c r="C13" i="86"/>
  <c r="H23" i="74"/>
  <c r="H730" i="103" s="1"/>
  <c r="I66" i="84"/>
  <c r="I70" i="84" s="1"/>
  <c r="I76" i="84" s="1"/>
  <c r="I73" i="84" s="1"/>
  <c r="C70" i="84"/>
  <c r="C72" i="84" s="1"/>
  <c r="D23" i="74"/>
  <c r="D730" i="103" s="1"/>
  <c r="C23" i="74"/>
  <c r="C730" i="103" s="1"/>
  <c r="E23" i="74"/>
  <c r="E730" i="103" s="1"/>
  <c r="G23" i="74"/>
  <c r="G730" i="103" s="1"/>
  <c r="I23" i="74"/>
  <c r="I730" i="103" s="1"/>
  <c r="K66" i="84"/>
  <c r="K70" i="84" s="1"/>
  <c r="K72" i="84" s="1"/>
  <c r="G66" i="84"/>
  <c r="G20" i="74"/>
  <c r="G727" i="103" s="1"/>
  <c r="B25" i="74"/>
  <c r="B727" i="103"/>
  <c r="B732" i="103" s="1"/>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C30" i="86"/>
  <c r="I13" i="86"/>
  <c r="C20" i="74"/>
  <c r="C20" i="84"/>
  <c r="H20" i="84"/>
  <c r="J40" i="74"/>
  <c r="J747" i="103" s="1"/>
  <c r="E20" i="74"/>
  <c r="E727" i="103" s="1"/>
  <c r="D20" i="74"/>
  <c r="D727" i="103" s="1"/>
  <c r="G56" i="84"/>
  <c r="G64" i="84" s="1"/>
  <c r="F20" i="74"/>
  <c r="F727" i="103" s="1"/>
  <c r="F732" i="103" s="1"/>
  <c r="E72" i="84"/>
  <c r="K738" i="103"/>
  <c r="J53" i="82"/>
  <c r="K14" i="74"/>
  <c r="J24" i="74"/>
  <c r="J15" i="74"/>
  <c r="J722" i="103" s="1"/>
  <c r="J16" i="74"/>
  <c r="J723" i="103" s="1"/>
  <c r="J21" i="74"/>
  <c r="J23" i="74"/>
  <c r="J730" i="103" s="1"/>
  <c r="I17" i="74"/>
  <c r="I724" i="103" s="1"/>
  <c r="H20" i="74"/>
  <c r="H727" i="103" s="1"/>
  <c r="H732" i="103" s="1"/>
  <c r="J728" i="103" l="1"/>
  <c r="J746" i="103" s="1"/>
  <c r="J39" i="74"/>
  <c r="B740" i="103"/>
  <c r="B745" i="103"/>
  <c r="B741" i="103"/>
  <c r="B44" i="82"/>
  <c r="B51" i="82" s="1"/>
  <c r="B34" i="74"/>
  <c r="B38" i="74"/>
  <c r="F740" i="103"/>
  <c r="F741" i="103"/>
  <c r="F745" i="103"/>
  <c r="H740" i="103"/>
  <c r="H745" i="103"/>
  <c r="H741" i="103"/>
  <c r="I44" i="74"/>
  <c r="I751" i="103" s="1"/>
  <c r="C76" i="84"/>
  <c r="C73" i="84" s="1"/>
  <c r="G732" i="103"/>
  <c r="D732" i="103"/>
  <c r="C33" i="86"/>
  <c r="H13" i="86"/>
  <c r="E13" i="86"/>
  <c r="E732" i="103"/>
  <c r="G70" i="84"/>
  <c r="G76" i="84" s="1"/>
  <c r="G73" i="84" s="1"/>
  <c r="F13" i="86"/>
  <c r="B33" i="74"/>
  <c r="C9" i="86" s="1"/>
  <c r="C17" i="86" s="1"/>
  <c r="C18" i="86" s="1"/>
  <c r="C20" i="86" s="1"/>
  <c r="C24" i="86" s="1"/>
  <c r="K6" i="86" s="1"/>
  <c r="G66" i="86" s="1"/>
  <c r="N92" i="85" s="1"/>
  <c r="G25" i="7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F25" i="74"/>
  <c r="J178" i="78"/>
  <c r="J180" i="78" s="1"/>
  <c r="I20" i="74"/>
  <c r="I727" i="103" s="1"/>
  <c r="I732" i="103" s="1"/>
  <c r="K24" i="74"/>
  <c r="B46" i="74"/>
  <c r="K15" i="74"/>
  <c r="K722" i="103" s="1"/>
  <c r="K16" i="74"/>
  <c r="K723" i="103" s="1"/>
  <c r="K21" i="74"/>
  <c r="K23" i="74"/>
  <c r="K730" i="103" s="1"/>
  <c r="H25" i="74"/>
  <c r="D33" i="86"/>
  <c r="B770" i="103"/>
  <c r="K53" i="82"/>
  <c r="J17" i="74"/>
  <c r="J724" i="103" s="1"/>
  <c r="K728" i="103" l="1"/>
  <c r="K746" i="103" s="1"/>
  <c r="K39" i="74"/>
  <c r="G740" i="103"/>
  <c r="G741" i="103"/>
  <c r="G745" i="103"/>
  <c r="F34" i="74"/>
  <c r="F38" i="74"/>
  <c r="C740" i="103"/>
  <c r="C745" i="103"/>
  <c r="C741" i="103"/>
  <c r="I740" i="103"/>
  <c r="I741" i="103"/>
  <c r="I745" i="103"/>
  <c r="D34" i="74"/>
  <c r="D38" i="74"/>
  <c r="G44" i="82"/>
  <c r="G51" i="82" s="1"/>
  <c r="G38" i="74"/>
  <c r="G34" i="74"/>
  <c r="E740" i="103"/>
  <c r="E741" i="103"/>
  <c r="E745" i="103"/>
  <c r="D740" i="103"/>
  <c r="D741" i="103"/>
  <c r="D745" i="103"/>
  <c r="H38" i="74"/>
  <c r="H34" i="74"/>
  <c r="E34" i="74"/>
  <c r="E38" i="74"/>
  <c r="B46" i="82"/>
  <c r="C33" i="74"/>
  <c r="D9" i="86" s="1"/>
  <c r="D17" i="86" s="1"/>
  <c r="D18" i="86" s="1"/>
  <c r="D20" i="86" s="1"/>
  <c r="D24" i="86" s="1"/>
  <c r="K7" i="86" s="1"/>
  <c r="C38" i="74"/>
  <c r="C34" i="74"/>
  <c r="J44" i="74"/>
  <c r="J751" i="103" s="1"/>
  <c r="S21" i="74"/>
  <c r="G72" i="84"/>
  <c r="G33" i="74"/>
  <c r="H9" i="86" s="1"/>
  <c r="H17" i="86" s="1"/>
  <c r="H18" i="86" s="1"/>
  <c r="H20" i="86" s="1"/>
  <c r="H24" i="86" s="1"/>
  <c r="K11" i="86" s="1"/>
  <c r="C44" i="82"/>
  <c r="C46" i="82" s="1"/>
  <c r="E30" i="86"/>
  <c r="E33" i="74"/>
  <c r="F9" i="86" s="1"/>
  <c r="F17" i="86" s="1"/>
  <c r="F18" i="86" s="1"/>
  <c r="F20" i="86" s="1"/>
  <c r="F24" i="86" s="1"/>
  <c r="K9" i="86" s="1"/>
  <c r="D44" i="82"/>
  <c r="D46" i="82" s="1"/>
  <c r="B15" i="82"/>
  <c r="J183" i="78"/>
  <c r="M189" i="78" s="1"/>
  <c r="B72" i="74"/>
  <c r="B779" i="103" s="1"/>
  <c r="E44" i="82"/>
  <c r="E46" i="82" s="1"/>
  <c r="D33" i="74"/>
  <c r="S22" i="74"/>
  <c r="F44" i="82"/>
  <c r="F33" i="74"/>
  <c r="I25" i="74"/>
  <c r="J20" i="74"/>
  <c r="J727" i="103" s="1"/>
  <c r="J732" i="103" s="1"/>
  <c r="H44" i="82"/>
  <c r="H33" i="74"/>
  <c r="K17" i="74"/>
  <c r="K724" i="103" s="1"/>
  <c r="C46" i="74"/>
  <c r="B56" i="74"/>
  <c r="B48" i="74"/>
  <c r="B755" i="103" s="1"/>
  <c r="B47" i="74"/>
  <c r="B754" i="103" s="1"/>
  <c r="B53" i="74"/>
  <c r="B55" i="74"/>
  <c r="B762" i="103" s="1"/>
  <c r="C770" i="103"/>
  <c r="B73" i="82"/>
  <c r="E33" i="86"/>
  <c r="B760" i="103" l="1"/>
  <c r="B778" i="103" s="1"/>
  <c r="B71" i="74"/>
  <c r="G46" i="82"/>
  <c r="J740" i="103"/>
  <c r="J741" i="103"/>
  <c r="J745" i="103"/>
  <c r="I34" i="74"/>
  <c r="I38" i="74"/>
  <c r="K44" i="74"/>
  <c r="K751" i="103" s="1"/>
  <c r="C51" i="82"/>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4" i="74"/>
  <c r="J38" i="74"/>
  <c r="B76" i="74"/>
  <c r="B783" i="103" s="1"/>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K38" i="74"/>
  <c r="K34" i="74"/>
  <c r="B772" i="103"/>
  <c r="B777" i="103"/>
  <c r="B773" i="103"/>
  <c r="C76" i="74"/>
  <c r="C783" i="103" s="1"/>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B66" i="74"/>
  <c r="B70" i="74"/>
  <c r="C772" i="103"/>
  <c r="C773" i="103"/>
  <c r="C777" i="103"/>
  <c r="D76" i="74"/>
  <c r="D783" i="103" s="1"/>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D772" i="103"/>
  <c r="D773" i="103"/>
  <c r="D777" i="103"/>
  <c r="C66" i="74"/>
  <c r="C70" i="74"/>
  <c r="E76" i="74"/>
  <c r="E783" i="103" s="1"/>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G760" i="103" l="1"/>
  <c r="G778" i="103" s="1"/>
  <c r="G71" i="74"/>
  <c r="E772" i="103"/>
  <c r="E773" i="103"/>
  <c r="E777" i="103"/>
  <c r="D66" i="74"/>
  <c r="D70" i="74"/>
  <c r="F76" i="74"/>
  <c r="F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3" i="103"/>
  <c r="F777"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I760" i="103" l="1"/>
  <c r="I778" i="103" s="1"/>
  <c r="I71" i="74"/>
  <c r="F66" i="74"/>
  <c r="F70"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J760" i="103" l="1"/>
  <c r="J778" i="103" s="1"/>
  <c r="J71" i="74"/>
  <c r="H772" i="103"/>
  <c r="H777" i="103"/>
  <c r="H773"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70" i="74"/>
  <c r="H66"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7" i="103"/>
  <c r="J773"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70" i="74"/>
  <c r="K66" i="74"/>
  <c r="B803" i="103"/>
  <c r="B808" i="103"/>
  <c r="B804"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8" i="103"/>
  <c r="F804"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101" i="74"/>
  <c r="F97"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H101" i="74"/>
  <c r="H97"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8" i="103"/>
  <c r="J804" i="103"/>
  <c r="I101" i="74"/>
  <c r="I97"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4" i="103"/>
  <c r="K808" i="103"/>
  <c r="J97" i="74"/>
  <c r="J101"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97" i="74"/>
  <c r="K101"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8" i="103"/>
  <c r="C834" i="103"/>
  <c r="B127" i="74"/>
  <c r="B131"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E833" i="103" l="1"/>
  <c r="E838" i="103"/>
  <c r="E834" i="103"/>
  <c r="D127" i="74"/>
  <c r="D131" i="74"/>
  <c r="D126" i="74"/>
  <c r="E119" i="74"/>
  <c r="F114" i="74"/>
  <c r="F821" i="103" s="1"/>
  <c r="F826" i="103" s="1"/>
  <c r="F833" i="103" l="1"/>
  <c r="F838" i="103"/>
  <c r="F834" i="103"/>
  <c r="E131" i="74"/>
  <c r="E127"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<sst xmlns="http://schemas.openxmlformats.org/spreadsheetml/2006/main" count="19309" uniqueCount="7126">
  <si>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</si>
  <si>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</si>
  <si>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</si>
  <si>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</si>
  <si>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</si>
  <si>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</si>
  <si>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</si>
  <si>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</si>
  <si>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</si>
  <si>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</si>
  <si>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</si>
  <si>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</si>
  <si>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</si>
  <si>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</si>
  <si>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</si>
  <si>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</si>
  <si>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</si>
  <si>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</si>
  <si>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</si>
  <si>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</si>
  <si>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</si>
  <si>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</si>
  <si>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</si>
  <si>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</si>
  <si>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</si>
  <si>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</si>
  <si>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</si>
  <si>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</si>
  <si>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</si>
  <si>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</si>
  <si>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</si>
  <si>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</si>
  <si>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</si>
  <si>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</si>
  <si>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</si>
  <si>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</si>
  <si>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</si>
  <si>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</si>
  <si>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</si>
  <si>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</si>
  <si>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</si>
  <si>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</si>
  <si>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</si>
  <si>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</si>
  <si>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</si>
  <si>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</si>
  <si>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</si>
  <si>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</si>
  <si>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</si>
  <si>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</si>
  <si>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</si>
  <si>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</si>
  <si>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</si>
  <si>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</si>
  <si>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</si>
  <si>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</si>
  <si>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</si>
  <si>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</si>
  <si>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</si>
  <si>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</si>
  <si>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</si>
  <si>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</si>
  <si>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</si>
  <si>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</si>
  <si>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</si>
  <si>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</si>
  <si>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</si>
  <si>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</si>
  <si>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</si>
  <si>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</si>
  <si>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</si>
  <si>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</si>
  <si>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</si>
  <si>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</si>
  <si>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</si>
  <si>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</si>
  <si>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</si>
  <si>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</si>
  <si>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</si>
  <si>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</si>
  <si>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</si>
  <si>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</si>
  <si>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</si>
  <si>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</si>
  <si>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</si>
  <si>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</si>
  <si>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</si>
  <si>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</si>
  <si>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</si>
  <si>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</si>
  <si>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</si>
  <si>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</si>
  <si>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</si>
  <si>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</si>
  <si>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</si>
  <si>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</si>
  <si>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</si>
  <si>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</si>
  <si>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</si>
  <si>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</si>
  <si>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</si>
  <si>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</si>
  <si>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</si>
  <si>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</si>
  <si>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</si>
  <si>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</si>
  <si>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</si>
  <si>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</si>
  <si>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</si>
  <si>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</si>
  <si>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</si>
  <si>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</si>
  <si>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</si>
  <si>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</si>
  <si>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</si>
  <si>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</si>
  <si>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</si>
  <si>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</si>
  <si>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</si>
  <si>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</si>
  <si>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</si>
  <si>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</si>
  <si>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</si>
  <si>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</si>
  <si>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</si>
  <si>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</si>
  <si>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</si>
  <si>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</si>
  <si>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</si>
  <si>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</si>
  <si>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</si>
  <si>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</si>
  <si>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</si>
  <si>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</si>
  <si>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</si>
  <si>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</si>
  <si>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</si>
  <si>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</si>
  <si>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</si>
  <si>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</si>
  <si>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</si>
  <si>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</si>
  <si>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</si>
  <si>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</si>
  <si>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</si>
  <si>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</si>
  <si>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</si>
  <si>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</si>
  <si>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</si>
  <si>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</si>
  <si>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</si>
  <si>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</si>
  <si>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</si>
  <si>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</si>
  <si>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</si>
  <si>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</si>
  <si>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</si>
  <si>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</si>
  <si>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</si>
  <si>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</si>
  <si>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</si>
  <si>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</si>
  <si>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</si>
  <si>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</si>
  <si>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</si>
  <si>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</si>
  <si>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</si>
  <si>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</si>
  <si>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</si>
  <si>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</si>
  <si>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</si>
  <si>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</si>
  <si>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</si>
  <si>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</si>
  <si>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</si>
  <si>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</si>
  <si>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</si>
  <si>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</si>
  <si>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</si>
  <si>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</si>
  <si>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</si>
  <si>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</si>
  <si>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</si>
  <si>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</si>
  <si>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</si>
  <si>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</si>
  <si>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</si>
  <si>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</si>
  <si>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</si>
  <si>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</si>
  <si>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</si>
  <si>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</si>
  <si>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</si>
  <si>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</si>
  <si>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</si>
  <si>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</si>
  <si>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</si>
  <si>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</si>
  <si>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</si>
  <si>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</si>
  <si>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</si>
  <si>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</si>
  <si>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</si>
  <si>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</si>
  <si>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</si>
  <si>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</si>
  <si>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</si>
  <si>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</si>
  <si>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</si>
  <si>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</si>
  <si>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</si>
  <si>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</si>
  <si>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</si>
  <si>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</si>
  <si>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</si>
  <si>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</si>
  <si>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</si>
  <si>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</si>
  <si>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</si>
  <si>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</si>
  <si>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</si>
  <si>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</si>
  <si>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</si>
  <si>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</si>
  <si>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</si>
  <si>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</si>
  <si>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</si>
  <si>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</si>
  <si>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</si>
  <si>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</si>
  <si>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</si>
  <si>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</si>
  <si>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</si>
  <si>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</si>
  <si>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</si>
  <si>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</si>
  <si>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</si>
  <si>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</si>
  <si>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</si>
  <si>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</si>
  <si>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</si>
  <si>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</si>
  <si>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</si>
  <si>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</si>
  <si>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</si>
  <si>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</si>
  <si>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</si>
  <si>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</si>
  <si>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</si>
  <si>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</si>
  <si>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</si>
  <si>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</si>
  <si>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</si>
  <si>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</si>
  <si>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</si>
  <si>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</si>
  <si>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</si>
  <si>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</si>
  <si>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</si>
  <si>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</si>
  <si>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</si>
  <si>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</si>
  <si>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</si>
  <si>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</si>
  <si>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</si>
  <si>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</si>
  <si>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</si>
  <si>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</si>
  <si>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</si>
  <si>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</si>
  <si>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</si>
  <si>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</si>
  <si>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</si>
  <si>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</si>
  <si>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</si>
  <si>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</si>
  <si>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</si>
  <si>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</si>
  <si>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</si>
  <si>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</si>
  <si>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</si>
  <si>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</si>
  <si>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</si>
  <si>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</si>
  <si>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</si>
  <si>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</si>
  <si>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</si>
  <si>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</si>
  <si>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</si>
  <si>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</si>
  <si>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</si>
  <si>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</si>
  <si>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</si>
  <si>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</si>
  <si>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</si>
  <si>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</si>
  <si>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</si>
  <si>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</si>
  <si>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</si>
  <si>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</si>
  <si>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</si>
  <si>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</si>
  <si>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</si>
  <si>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</si>
  <si>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</si>
  <si>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</si>
  <si>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</si>
  <si>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</si>
  <si>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</si>
  <si>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</si>
  <si>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</si>
  <si>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</si>
  <si>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</si>
  <si>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</si>
  <si>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</si>
  <si>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</si>
  <si>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</si>
  <si>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</si>
  <si>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</si>
  <si>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</si>
  <si>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</si>
  <si>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</si>
  <si>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</si>
  <si>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</si>
  <si>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</si>
  <si>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</si>
  <si>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</si>
  <si>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</si>
  <si>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</si>
  <si>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</si>
  <si>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</si>
  <si>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</si>
  <si>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</si>
  <si>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</si>
  <si>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</si>
  <si>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</si>
  <si>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</si>
  <si>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</si>
  <si>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</si>
  <si>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</si>
  <si>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</si>
  <si>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</si>
  <si>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</si>
  <si>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</si>
  <si>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</si>
  <si>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</si>
  <si>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</si>
  <si>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</si>
  <si>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</si>
  <si>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</si>
  <si>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</si>
  <si>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</si>
  <si>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</si>
  <si>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</si>
  <si>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</si>
  <si>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</si>
  <si>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</si>
  <si>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</si>
  <si>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</si>
  <si>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</si>
  <si>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</si>
  <si>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</si>
  <si>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</si>
  <si>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</si>
  <si>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</si>
  <si>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</si>
  <si>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</si>
  <si>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</si>
  <si>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</si>
  <si>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</si>
  <si>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</si>
  <si>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</si>
  <si>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</si>
  <si>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</si>
  <si>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</si>
  <si>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</si>
  <si>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</si>
  <si>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</si>
  <si>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</si>
  <si>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</si>
  <si>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</si>
  <si>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</si>
  <si>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</si>
  <si>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</si>
  <si>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</si>
  <si>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</si>
  <si>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</si>
  <si>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</si>
  <si>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</si>
  <si>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</si>
  <si>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</si>
  <si>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</si>
  <si>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</si>
  <si>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</si>
  <si>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</si>
  <si>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</si>
  <si>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</si>
  <si>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</si>
  <si>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</si>
  <si>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</si>
  <si>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</si>
  <si>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</si>
  <si>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</si>
  <si>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</si>
  <si>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</si>
  <si>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</si>
  <si>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</si>
  <si>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</si>
  <si>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</si>
  <si>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</si>
  <si>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</si>
  <si>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</si>
  <si>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</si>
  <si>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</si>
  <si>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</si>
  <si>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</si>
  <si>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</si>
  <si>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</si>
  <si>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</si>
  <si>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</si>
  <si>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</si>
  <si>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</si>
  <si>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</si>
  <si>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</si>
  <si>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</si>
  <si>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</si>
  <si>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</si>
  <si>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</si>
  <si>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</si>
  <si>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</si>
  <si>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</si>
  <si>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</si>
  <si>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</si>
  <si>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</si>
  <si>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</si>
  <si>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</si>
  <si>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</si>
  <si>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</si>
  <si>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</si>
  <si>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</si>
  <si>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</si>
  <si>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</si>
  <si>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</si>
  <si>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</si>
  <si>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</si>
  <si>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</si>
  <si>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</si>
  <si>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</si>
  <si>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</si>
  <si>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</si>
  <si>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</si>
  <si>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</si>
  <si>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</si>
  <si>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</si>
  <si>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</si>
  <si>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</si>
  <si>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</si>
  <si>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</si>
  <si>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</si>
  <si>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</si>
  <si>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</si>
  <si>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</si>
  <si>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</si>
  <si>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</si>
  <si>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</si>
  <si>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</si>
  <si>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</si>
  <si>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</si>
  <si>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</si>
  <si>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</si>
  <si>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</si>
  <si>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</si>
  <si>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</si>
  <si>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</si>
  <si>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</si>
  <si>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</si>
  <si>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</si>
  <si>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</si>
  <si>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</si>
  <si>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</si>
  <si>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</si>
  <si>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</si>
  <si>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</si>
  <si>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</si>
  <si>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</si>
  <si>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</si>
  <si>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</si>
  <si>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</si>
  <si>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</si>
  <si>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</si>
  <si>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</si>
  <si>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</si>
  <si>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</si>
  <si>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</si>
  <si>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</si>
  <si>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</si>
  <si>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</si>
  <si>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</si>
  <si>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</si>
  <si>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</si>
  <si>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</si>
  <si>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</si>
  <si>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</si>
  <si>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</si>
  <si>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</si>
  <si>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</si>
  <si>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</si>
  <si>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</si>
  <si>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</si>
  <si>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</si>
  <si>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</si>
  <si>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</si>
  <si>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</si>
  <si>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</si>
  <si>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</si>
  <si>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</si>
  <si>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</si>
  <si>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</si>
  <si>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</si>
  <si>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</si>
  <si>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</si>
  <si>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</si>
  <si>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</si>
  <si>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</si>
  <si>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</si>
  <si>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</si>
  <si>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</si>
  <si>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</si>
  <si>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</si>
  <si>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</si>
  <si>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</si>
  <si>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</si>
  <si>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</si>
  <si>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</si>
  <si>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</si>
  <si>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</si>
  <si>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</si>
  <si>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</si>
  <si>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</si>
  <si>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</si>
  <si>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</si>
  <si>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</si>
  <si>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</si>
  <si>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</si>
  <si>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</si>
  <si>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</si>
  <si>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</si>
  <si>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</si>
  <si>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</si>
  <si>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</si>
  <si>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</si>
  <si>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</si>
  <si>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</si>
  <si>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</si>
  <si>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</si>
  <si>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</si>
  <si>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</si>
  <si>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</si>
  <si>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</si>
  <si>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</si>
  <si>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</si>
  <si>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</si>
  <si>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</si>
  <si>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</si>
  <si>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</si>
  <si>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</si>
  <si>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</si>
  <si>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</si>
  <si>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</si>
  <si>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</si>
  <si>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</si>
  <si>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</si>
  <si>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</si>
  <si>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</si>
  <si>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</si>
  <si>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</si>
  <si>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</si>
  <si>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</si>
  <si>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</si>
  <si>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</si>
  <si>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</si>
  <si>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</si>
  <si>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</si>
  <si>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</si>
  <si>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</si>
  <si>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</si>
  <si>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</si>
  <si>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</si>
  <si>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</si>
  <si>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</si>
  <si>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</si>
  <si>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</si>
  <si>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</si>
  <si>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</si>
  <si>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</si>
  <si>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</si>
  <si>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</si>
  <si>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</si>
  <si>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</si>
  <si>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</si>
  <si>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</si>
  <si>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</si>
  <si>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</si>
  <si>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</si>
  <si>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</si>
  <si>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</si>
  <si>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</si>
  <si>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</si>
  <si>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</si>
  <si>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</si>
  <si>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</si>
  <si>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</si>
  <si>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</si>
  <si>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</si>
  <si>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</si>
  <si>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</si>
  <si>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</si>
  <si>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</si>
  <si>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</si>
  <si>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</si>
  <si>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</si>
  <si>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</si>
  <si>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</si>
  <si>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</si>
  <si>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</si>
  <si>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</si>
  <si>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</si>
  <si>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</si>
  <si>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</si>
  <si>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</si>
  <si>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</si>
  <si>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</si>
  <si>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</si>
  <si>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</si>
  <si>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</si>
  <si>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</si>
  <si>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</si>
  <si>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</si>
  <si>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</si>
  <si>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</si>
  <si>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</si>
  <si>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</si>
  <si>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</si>
  <si>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</si>
  <si>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</si>
  <si>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</si>
  <si>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</si>
  <si>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</si>
  <si>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</si>
  <si>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</si>
  <si>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</si>
  <si>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</si>
  <si>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</si>
  <si>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</si>
  <si>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</si>
  <si>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</si>
  <si>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</si>
  <si>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</si>
  <si>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</si>
  <si>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</si>
  <si>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</si>
  <si>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</si>
  <si>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</si>
  <si>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</si>
  <si>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</si>
  <si>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</si>
  <si>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</si>
  <si>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</si>
  <si>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</si>
  <si>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</si>
  <si>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</si>
  <si>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</si>
  <si>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</si>
  <si>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</si>
  <si>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</si>
  <si>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</si>
  <si>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</si>
  <si>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</si>
  <si>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</si>
  <si>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</si>
  <si>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</si>
  <si>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</si>
  <si>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</si>
  <si>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</si>
  <si>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</si>
  <si>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</si>
  <si>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</si>
  <si>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</si>
  <si>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</si>
  <si>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</si>
  <si>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</si>
  <si>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</si>
  <si>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</si>
  <si>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</si>
  <si>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</si>
  <si>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</si>
  <si>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</si>
  <si>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</si>
  <si>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</si>
  <si>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</si>
  <si>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</si>
  <si>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</si>
  <si>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</si>
  <si>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</si>
  <si>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</si>
  <si>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</si>
  <si>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</si>
  <si>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</si>
  <si>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</si>
  <si>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</si>
  <si>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</si>
  <si>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</si>
  <si>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</si>
  <si>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</si>
  <si>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</si>
  <si>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</si>
  <si>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</si>
  <si>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</si>
  <si>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</si>
  <si>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</si>
  <si>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</si>
  <si>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</si>
  <si>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</si>
  <si>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</si>
  <si>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</si>
  <si>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</si>
  <si>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</si>
  <si>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</si>
  <si>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</si>
  <si>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</si>
  <si>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</si>
  <si>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</si>
  <si>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</si>
  <si>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</si>
  <si>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</si>
  <si>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</si>
  <si>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</si>
  <si>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</si>
  <si>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</si>
  <si>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</si>
  <si>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</si>
  <si>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</si>
  <si>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</si>
  <si>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</si>
  <si>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</si>
  <si>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</si>
  <si>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</si>
  <si>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</si>
  <si>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</si>
  <si>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</si>
  <si>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</si>
  <si>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</si>
  <si>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</si>
  <si>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</si>
  <si>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</si>
  <si>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</si>
  <si>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</si>
  <si>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</si>
  <si>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</si>
  <si>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</si>
  <si>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</si>
  <si>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</si>
  <si>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</si>
  <si>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</si>
  <si>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</si>
  <si>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</si>
  <si>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</si>
  <si>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</si>
  <si>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</si>
  <si>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</si>
  <si>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</si>
  <si>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</si>
  <si>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</si>
  <si>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</si>
  <si>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</si>
  <si>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</si>
  <si>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</si>
  <si>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</si>
  <si>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</si>
  <si>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</si>
  <si>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</si>
  <si>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</si>
  <si>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</si>
  <si>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</si>
  <si>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</si>
  <si>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</si>
  <si>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</si>
  <si>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</si>
  <si>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</si>
  <si>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</si>
  <si>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</si>
  <si>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</si>
  <si>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</si>
  <si>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</si>
  <si>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</si>
  <si>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</si>
  <si>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</si>
  <si>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</si>
  <si>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</si>
  <si>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</si>
  <si>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</si>
  <si>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</si>
  <si>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</si>
  <si>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</si>
  <si>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</si>
  <si>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</si>
  <si>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</si>
  <si>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</si>
  <si>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</si>
  <si>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</si>
  <si>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</si>
  <si>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</si>
  <si>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</si>
  <si>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</si>
  <si>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</si>
  <si>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</si>
  <si>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</si>
  <si>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</si>
  <si>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</si>
  <si>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</si>
  <si>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</si>
  <si>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</si>
  <si>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</si>
  <si>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</si>
  <si>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</si>
  <si>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</si>
  <si>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</si>
  <si>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</si>
  <si>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</si>
  <si>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</si>
  <si>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</si>
  <si>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</si>
  <si>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</si>
  <si>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</si>
  <si>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</si>
  <si>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</si>
  <si>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</si>
  <si>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</si>
  <si>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</si>
  <si>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</si>
  <si>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</si>
  <si>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</si>
  <si>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</si>
  <si>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</si>
  <si>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</si>
  <si>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</si>
  <si>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</si>
  <si>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</si>
  <si>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</si>
  <si>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</si>
  <si>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</si>
  <si>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</si>
  <si>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</si>
  <si>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</si>
  <si>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</si>
  <si>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</si>
  <si>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</si>
  <si>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</si>
  <si>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</si>
  <si>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</si>
  <si>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</si>
  <si>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</si>
  <si>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</si>
  <si>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</si>
  <si>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</si>
  <si>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</si>
  <si>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</si>
  <si>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</si>
  <si>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</si>
  <si>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</si>
  <si>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</si>
  <si>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</si>
  <si>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</si>
  <si>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</si>
  <si>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</si>
  <si>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</si>
  <si>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</si>
  <si>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</si>
  <si>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</si>
  <si>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</si>
  <si>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</si>
  <si>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</si>
  <si>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</si>
  <si>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</si>
  <si>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</si>
  <si>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</si>
  <si>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</si>
  <si>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</si>
  <si>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</si>
  <si>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</si>
  <si>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</si>
  <si>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</si>
  <si>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</si>
  <si>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</si>
  <si>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</si>
  <si>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</si>
  <si>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</si>
  <si>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</si>
  <si>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</si>
  <si>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</si>
  <si>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</si>
  <si>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</si>
  <si>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</si>
  <si>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</si>
  <si>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</si>
  <si>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</si>
  <si>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</si>
  <si>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</si>
  <si>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</si>
  <si>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</si>
  <si>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</si>
  <si>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</si>
  <si>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</si>
  <si>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</si>
  <si>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</si>
  <si>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</si>
  <si>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</si>
  <si>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</si>
  <si>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</si>
  <si>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</si>
  <si>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</si>
  <si>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</si>
  <si>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</si>
  <si>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</si>
  <si>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</si>
  <si>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</si>
  <si>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</si>
  <si>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</si>
  <si>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</si>
  <si>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</si>
  <si>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</si>
  <si>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</si>
  <si>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</si>
  <si>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</si>
  <si>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</si>
  <si>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</si>
  <si>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</si>
  <si>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</si>
  <si>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</si>
  <si>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</si>
  <si>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</si>
  <si>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</si>
  <si>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</si>
  <si>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</si>
  <si>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</si>
  <si>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</si>
  <si>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</si>
  <si>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</si>
  <si>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</si>
  <si>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</si>
  <si>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</si>
  <si>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</si>
  <si>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</si>
  <si>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</si>
  <si>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</si>
  <si>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</si>
  <si>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</si>
  <si>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</si>
  <si>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</si>
  <si>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</si>
  <si>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</si>
  <si>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</si>
  <si>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</si>
  <si>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</si>
  <si>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</si>
  <si>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</si>
  <si>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</si>
  <si>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</si>
  <si>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</si>
  <si>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</si>
  <si>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</si>
  <si>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</si>
  <si>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</si>
  <si>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</si>
  <si>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</si>
  <si>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</si>
  <si>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</si>
  <si>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</si>
  <si>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</si>
  <si>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</si>
  <si>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</si>
  <si>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</si>
  <si>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</si>
  <si>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</si>
  <si>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</si>
  <si>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</si>
  <si>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</si>
  <si>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</si>
  <si>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</si>
  <si>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</si>
  <si>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</si>
  <si>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</si>
  <si>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</si>
  <si>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</si>
  <si>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</si>
  <si>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</si>
  <si>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</si>
  <si>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</si>
  <si>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</si>
  <si>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</si>
  <si>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</si>
  <si>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</si>
  <si>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</si>
  <si>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</si>
  <si>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</si>
  <si>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</si>
  <si>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</si>
  <si>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</si>
  <si>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</si>
  <si>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</si>
  <si>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</si>
  <si>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</si>
  <si>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</si>
  <si>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</si>
  <si>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</si>
  <si>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</si>
  <si>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</si>
  <si>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</si>
  <si>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</si>
  <si>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</si>
  <si>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</si>
  <si>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</si>
  <si>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</si>
  <si>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</si>
  <si>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</si>
  <si>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</si>
  <si>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</si>
  <si>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</si>
  <si>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</si>
  <si>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</si>
  <si>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</si>
  <si>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</si>
  <si>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</si>
  <si>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</si>
  <si>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</si>
  <si>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</si>
  <si>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</si>
  <si>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</si>
  <si>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</si>
  <si>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</si>
  <si>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</si>
  <si>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</si>
  <si>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</si>
  <si>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</si>
  <si>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</si>
  <si>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</si>
  <si>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</si>
  <si>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</si>
  <si>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</si>
  <si>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</si>
  <si>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</si>
  <si>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</si>
  <si>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</si>
  <si>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</si>
  <si>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</si>
  <si>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</si>
  <si>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</si>
  <si>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</si>
  <si>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</si>
  <si>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</si>
  <si>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</si>
  <si>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</si>
  <si>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</si>
  <si>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</si>
  <si>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</si>
  <si>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</si>
  <si>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</si>
  <si>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</si>
  <si>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</si>
  <si>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</si>
  <si>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</si>
  <si>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</si>
  <si>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</si>
  <si>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</si>
  <si>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</si>
  <si>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</si>
  <si>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</si>
  <si>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</si>
  <si>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</si>
  <si>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</si>
  <si>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</si>
  <si>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</si>
  <si>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</si>
  <si>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</si>
  <si>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</si>
  <si>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</si>
  <si>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</si>
  <si>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</si>
  <si>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</si>
  <si>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</si>
  <si>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</si>
  <si>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</si>
  <si>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</si>
  <si>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</si>
  <si>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</si>
  <si>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</si>
  <si>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</si>
  <si>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</si>
  <si>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</si>
  <si>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</si>
  <si>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</si>
  <si>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</si>
  <si>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</si>
  <si>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</si>
  <si>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</si>
  <si>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</si>
  <si>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</si>
  <si>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</si>
  <si>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</si>
  <si>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</si>
  <si>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</si>
  <si>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</si>
  <si>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</si>
  <si>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</si>
  <si>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</si>
  <si>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</si>
  <si>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</si>
  <si>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</si>
  <si>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</si>
  <si>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</si>
  <si>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</si>
  <si>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</si>
  <si>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</si>
  <si>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</si>
  <si>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</si>
  <si>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</si>
  <si>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</si>
  <si>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</si>
  <si>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</si>
  <si>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</si>
  <si>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</si>
  <si>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</si>
  <si>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</si>
  <si>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</si>
  <si>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</si>
  <si>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</si>
  <si>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</si>
  <si>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</si>
  <si>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</si>
  <si>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</si>
  <si>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</si>
  <si>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</si>
  <si>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</si>
  <si>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</si>
  <si>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</si>
  <si>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</si>
  <si>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</si>
  <si>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</si>
  <si>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</si>
  <si>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</si>
  <si>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</si>
  <si>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</si>
  <si>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</si>
  <si>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</si>
  <si>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</si>
  <si>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</si>
  <si>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</si>
  <si>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</si>
  <si>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</si>
  <si>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</si>
  <si>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</si>
  <si>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</si>
  <si>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</si>
  <si>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</si>
  <si>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</si>
  <si>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</si>
  <si>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</si>
  <si>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</si>
  <si>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</si>
  <si>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</si>
  <si>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</si>
  <si>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</si>
  <si>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</si>
  <si>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</si>
  <si>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</si>
  <si>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</si>
  <si>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</si>
  <si>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</si>
  <si>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</si>
  <si>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</si>
  <si>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</si>
  <si>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</si>
  <si>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</si>
  <si>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</si>
  <si>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</si>
  <si>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</si>
  <si>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</si>
  <si>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</si>
  <si>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</si>
  <si>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</si>
  <si>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</si>
  <si>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</si>
  <si>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</si>
  <si>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</si>
  <si>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</si>
  <si>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</si>
  <si>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</si>
  <si>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</si>
  <si>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</si>
  <si>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</si>
  <si>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</si>
  <si>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</si>
  <si>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</si>
  <si>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</si>
  <si>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</si>
  <si>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</si>
  <si>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</si>
  <si>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</si>
  <si>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</si>
  <si>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</si>
  <si>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</si>
  <si>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</si>
  <si>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</si>
  <si>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</si>
  <si>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</si>
  <si>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</si>
  <si>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</si>
  <si>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</si>
  <si>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</si>
  <si>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</si>
  <si>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</si>
  <si>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</si>
  <si>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</si>
  <si>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</si>
  <si>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</si>
  <si>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</si>
  <si>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</si>
  <si>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</si>
  <si>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</si>
  <si>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</si>
  <si>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</si>
  <si>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</si>
  <si>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</si>
  <si>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</si>
  <si>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</si>
  <si>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</si>
  <si>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</si>
  <si>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</si>
  <si>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</si>
  <si>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</si>
  <si>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</si>
  <si>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</si>
  <si>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</si>
  <si>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</si>
  <si>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</si>
  <si>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</si>
  <si>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</si>
  <si>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</si>
  <si>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</si>
  <si>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</si>
  <si>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</si>
  <si>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</si>
  <si>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</si>
  <si>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</si>
  <si>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</si>
  <si>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</si>
  <si>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</si>
  <si>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</si>
  <si>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</si>
  <si>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</si>
  <si>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</si>
  <si>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</si>
  <si>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</si>
  <si>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</si>
  <si>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</si>
  <si>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</si>
  <si>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</si>
  <si>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</si>
  <si>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</si>
  <si>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</si>
  <si>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</si>
  <si>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</si>
  <si>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</si>
  <si>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</si>
  <si>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</si>
  <si>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</si>
  <si>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</si>
  <si>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</si>
  <si>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</si>
  <si>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</si>
  <si>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</si>
  <si>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</si>
  <si>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</si>
  <si>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</si>
  <si>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</si>
  <si>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</si>
  <si>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</si>
  <si>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</si>
  <si>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</si>
  <si>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</si>
  <si>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</si>
  <si>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</si>
  <si>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</si>
  <si>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</si>
  <si>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</si>
  <si>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</si>
  <si>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</si>
  <si>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</si>
  <si>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</si>
  <si>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</si>
  <si>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</si>
  <si>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</si>
  <si>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</si>
  <si>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</si>
  <si>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</si>
  <si>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</si>
  <si>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</si>
  <si>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</si>
  <si>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</si>
  <si>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</si>
  <si>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</si>
  <si>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</si>
  <si>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</si>
  <si>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</si>
  <si>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</si>
  <si>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</si>
  <si>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</si>
  <si>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</si>
  <si>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</si>
  <si>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</si>
  <si>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</si>
  <si>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</si>
  <si>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</si>
  <si>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</si>
  <si>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</si>
  <si>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</si>
  <si>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</si>
  <si>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</si>
  <si>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</si>
  <si>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</si>
  <si>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</si>
  <si>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</si>
  <si>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</si>
  <si>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</si>
  <si>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</si>
  <si>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</si>
  <si>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</si>
  <si>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</si>
  <si>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</si>
  <si>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</si>
  <si>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</si>
  <si>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</si>
  <si>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</si>
  <si>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</si>
  <si>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</si>
  <si>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</si>
  <si>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</si>
  <si>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</si>
  <si>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</si>
  <si>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</si>
  <si>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</si>
  <si>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</si>
  <si>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</si>
  <si>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</si>
  <si>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</si>
  <si>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</si>
  <si>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</si>
  <si>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</si>
  <si>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</si>
  <si>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</si>
  <si>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</si>
  <si>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</si>
  <si>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</si>
  <si>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</si>
  <si>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</si>
  <si>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</si>
  <si>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</si>
  <si>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</si>
  <si>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</si>
  <si>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</si>
  <si>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</si>
  <si>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</si>
  <si>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</si>
  <si>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</si>
  <si>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</si>
  <si>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</si>
  <si>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</si>
  <si>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</si>
  <si>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</si>
  <si>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</si>
  <si>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</si>
  <si>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</si>
  <si>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</si>
  <si>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</si>
  <si>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</si>
  <si>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</si>
  <si>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</si>
  <si>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</si>
  <si>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</si>
  <si>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</si>
  <si>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</si>
  <si>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</si>
  <si>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</si>
  <si>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</si>
  <si>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</si>
  <si>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</si>
  <si>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</si>
  <si>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</si>
  <si>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</si>
  <si>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</si>
  <si>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</si>
  <si>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</si>
  <si>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</si>
  <si>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</si>
  <si>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</si>
  <si>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</si>
  <si>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</si>
  <si>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</si>
  <si>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</si>
  <si>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</si>
  <si>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</si>
  <si>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</si>
  <si>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</si>
  <si>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</si>
  <si>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</si>
  <si>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</si>
  <si>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</si>
  <si>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</si>
  <si>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</si>
  <si>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</si>
  <si>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</si>
  <si>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</si>
  <si>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</si>
  <si>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</si>
  <si>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</si>
  <si>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</si>
  <si>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</si>
  <si>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</si>
  <si>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</si>
  <si>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</si>
  <si>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</si>
  <si>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</si>
  <si>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</si>
  <si>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</si>
  <si>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</si>
  <si>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</si>
  <si>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</si>
  <si>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</si>
  <si>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</si>
  <si>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</si>
  <si>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</si>
  <si>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</si>
  <si>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</si>
  <si>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</si>
  <si>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</si>
  <si>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</si>
  <si>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</si>
  <si>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</si>
  <si>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</si>
  <si>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</si>
  <si>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</si>
  <si>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</si>
  <si>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</si>
  <si>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</si>
  <si>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</si>
  <si>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</si>
  <si>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</si>
  <si>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</si>
  <si>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</si>
  <si>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</si>
  <si>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</si>
  <si>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</si>
  <si>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</si>
  <si>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</si>
  <si>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</si>
  <si>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</si>
  <si>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</si>
  <si>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</si>
  <si>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</si>
  <si>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</si>
  <si>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</si>
  <si>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</si>
  <si>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</si>
  <si>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</si>
  <si>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</si>
  <si>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</si>
  <si>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</si>
  <si>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</si>
  <si>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</si>
  <si>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</si>
  <si>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</si>
  <si>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</si>
  <si>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</si>
  <si>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</si>
  <si>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</si>
  <si>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</si>
  <si>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</si>
  <si>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</si>
  <si>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</si>
  <si>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</si>
  <si>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</si>
  <si>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</si>
  <si>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</si>
  <si>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</si>
  <si>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</si>
  <si>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</si>
  <si>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</si>
  <si>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</si>
  <si>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</si>
  <si>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</si>
  <si>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</si>
  <si>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</si>
  <si>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</si>
  <si>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</si>
  <si>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</si>
  <si>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</si>
  <si>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</si>
  <si>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</si>
  <si>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</si>
  <si>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</si>
  <si>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</si>
  <si>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</si>
  <si>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</si>
  <si>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</si>
  <si>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</si>
  <si>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</si>
  <si>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</si>
  <si>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</si>
  <si>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</si>
  <si>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</si>
  <si>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</si>
  <si>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</si>
  <si>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</si>
  <si>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</si>
  <si>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</si>
  <si>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</si>
  <si>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</si>
  <si>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</si>
  <si>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</si>
  <si>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</si>
  <si>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</si>
  <si>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</si>
  <si>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</si>
  <si>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</si>
  <si>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</si>
  <si>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</si>
  <si>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</si>
  <si>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</si>
  <si>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</si>
  <si>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</si>
  <si>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</si>
  <si>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</si>
  <si>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</si>
  <si>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</si>
  <si>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</si>
  <si>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</si>
  <si>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</si>
  <si>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</si>
  <si>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</si>
  <si>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</si>
  <si>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</si>
  <si>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</si>
  <si>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</si>
  <si>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</si>
  <si>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</si>
  <si>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</si>
  <si>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</si>
  <si>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</si>
  <si>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</si>
  <si>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</si>
  <si>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</si>
  <si>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</si>
  <si>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</si>
  <si>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</si>
  <si>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</si>
  <si>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</si>
  <si>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</si>
  <si>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</si>
  <si>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</si>
  <si>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</si>
  <si>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</si>
  <si>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</si>
  <si>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</si>
  <si>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</si>
  <si>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</si>
  <si>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</si>
  <si>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</si>
  <si>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</si>
  <si>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</si>
  <si>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</si>
  <si>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</si>
  <si>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</si>
  <si>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</si>
  <si>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</si>
  <si>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</si>
  <si>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</si>
  <si>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</si>
  <si>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</si>
  <si>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</si>
  <si>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</si>
  <si>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</si>
  <si>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</si>
  <si>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</si>
  <si>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</si>
  <si>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</si>
  <si>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</si>
  <si>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</si>
  <si>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</si>
  <si>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</si>
  <si>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</si>
  <si>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</si>
  <si>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</si>
  <si>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</si>
  <si>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</si>
  <si>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</si>
  <si>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</si>
  <si>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</si>
  <si>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</si>
  <si>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</si>
  <si>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</si>
  <si>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</si>
  <si>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</si>
  <si>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</si>
  <si>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</si>
  <si>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</si>
  <si>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</si>
  <si>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</si>
  <si>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</si>
  <si>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</si>
  <si>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</si>
  <si>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</si>
  <si>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</si>
  <si>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</si>
  <si>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</si>
  <si>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</si>
  <si>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</si>
  <si>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</si>
  <si>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</si>
  <si>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</si>
  <si>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</si>
  <si>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</si>
  <si>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</si>
  <si>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</si>
  <si>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</si>
  <si>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</si>
  <si>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</si>
  <si>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</si>
  <si>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</si>
  <si>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</si>
  <si>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</si>
  <si>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</si>
  <si>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</si>
  <si>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</si>
  <si>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</si>
  <si>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</si>
  <si>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</si>
  <si>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</si>
  <si>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</si>
  <si>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</si>
  <si>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</si>
  <si>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</si>
  <si>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</si>
  <si>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</si>
  <si>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</si>
  <si>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</si>
  <si>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</si>
  <si>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</si>
  <si>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</si>
  <si>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</si>
  <si>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</si>
  <si>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</si>
  <si>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</si>
  <si>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</si>
  <si>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</si>
  <si>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</si>
  <si>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</si>
  <si>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</si>
  <si>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</si>
  <si>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</si>
  <si>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</si>
  <si>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</si>
  <si>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</si>
  <si>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</si>
  <si>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</si>
  <si>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</si>
  <si>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</si>
  <si>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</si>
  <si>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</si>
  <si>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</si>
  <si>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</si>
  <si>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</si>
  <si>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</si>
  <si>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</si>
  <si>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</si>
  <si>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</si>
  <si>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</si>
  <si>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</si>
  <si>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</si>
  <si>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</si>
  <si>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</si>
  <si>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</si>
  <si>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</si>
  <si>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</si>
  <si>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</si>
  <si>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</si>
  <si>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</si>
  <si>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</si>
  <si>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</si>
  <si>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</si>
  <si>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</si>
  <si>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</si>
  <si>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</si>
  <si>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</si>
  <si>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</si>
  <si>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</si>
  <si>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</si>
  <si>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</si>
  <si>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</si>
  <si>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</si>
  <si>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</si>
  <si>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</si>
  <si>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</si>
  <si>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</si>
  <si>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</si>
  <si>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</si>
  <si>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</si>
  <si>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</si>
  <si>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</si>
  <si>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</si>
  <si>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</si>
  <si>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</si>
  <si>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</si>
  <si>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</si>
  <si>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</si>
  <si>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</si>
  <si>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</si>
  <si>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</si>
  <si>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</si>
  <si>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</si>
  <si>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</si>
  <si>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</si>
  <si>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</si>
  <si>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</si>
  <si>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</si>
  <si>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</si>
  <si>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</si>
  <si>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</si>
  <si>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</si>
  <si>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</si>
  <si>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</si>
  <si>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</si>
  <si>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</si>
  <si>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</si>
  <si>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</si>
  <si>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</si>
  <si>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</si>
  <si>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</si>
  <si>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</si>
  <si>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</si>
  <si>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</si>
  <si>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</si>
  <si>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</si>
  <si>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</si>
  <si>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</si>
  <si>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</si>
  <si>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</si>
  <si>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</si>
  <si>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</si>
  <si>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</si>
  <si>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</si>
  <si>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</si>
  <si>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</si>
  <si>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</si>
  <si>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</si>
  <si>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</si>
  <si>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</si>
  <si>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</si>
  <si>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</si>
  <si>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</si>
  <si>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</si>
  <si>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</si>
  <si>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</si>
  <si>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</si>
  <si>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</si>
  <si>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</si>
  <si>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</si>
  <si>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</si>
  <si>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</si>
  <si>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</si>
  <si>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</si>
  <si>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</si>
  <si>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</si>
  <si>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</si>
  <si>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</si>
  <si>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</si>
  <si>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</si>
  <si>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</si>
  <si>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</si>
  <si>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</si>
  <si>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</si>
  <si>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</si>
  <si>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</si>
  <si>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</si>
  <si>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</si>
  <si>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</si>
  <si>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</si>
  <si>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</si>
  <si>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</si>
  <si>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</si>
  <si>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</si>
  <si>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</si>
  <si>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</si>
  <si>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</si>
  <si>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</si>
  <si>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</si>
  <si>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</si>
  <si>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</si>
  <si>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</si>
  <si>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</si>
  <si>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</si>
  <si>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</si>
  <si>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</si>
  <si>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</si>
  <si>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</si>
  <si>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</si>
  <si>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</si>
  <si>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</si>
  <si>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</si>
  <si>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</si>
  <si>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</si>
  <si>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</si>
  <si>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</si>
  <si>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</si>
  <si>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</si>
  <si>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</si>
  <si>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</si>
  <si>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</si>
  <si>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</si>
  <si>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</si>
  <si>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</si>
  <si>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</si>
  <si>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</si>
  <si>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</si>
  <si>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</si>
  <si>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</si>
  <si>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</si>
  <si>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</si>
  <si>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</si>
  <si>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</si>
  <si>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</si>
  <si>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</si>
  <si>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</si>
  <si>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</si>
  <si>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</si>
  <si>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</si>
  <si>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</si>
  <si>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</si>
  <si>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</si>
  <si>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</si>
  <si>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</si>
  <si>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</si>
  <si>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</si>
  <si>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</si>
  <si>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</si>
  <si>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</si>
  <si>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</si>
  <si>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</si>
  <si>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</si>
  <si>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</si>
  <si>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</si>
  <si>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</si>
  <si>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</si>
  <si>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</si>
  <si>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</si>
  <si>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</si>
  <si>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</si>
  <si>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</si>
  <si>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</si>
  <si>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</si>
  <si>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</si>
  <si>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</si>
  <si>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</si>
  <si>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</si>
  <si>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</si>
  <si>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</si>
  <si>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</si>
  <si>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</si>
  <si>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</si>
  <si>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</si>
  <si>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</si>
  <si>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</si>
  <si>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</si>
  <si>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</si>
  <si>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</si>
  <si>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</si>
  <si>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</si>
  <si>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</si>
  <si>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</si>
  <si>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</si>
  <si>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</si>
  <si>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</si>
  <si>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</si>
  <si>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</si>
  <si>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</si>
  <si>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</si>
  <si>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</si>
  <si>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</si>
  <si>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</si>
  <si>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</si>
  <si>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</si>
  <si>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</si>
  <si>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</si>
  <si>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</si>
  <si>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</si>
  <si>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</si>
  <si>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</si>
  <si>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</si>
  <si>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</si>
  <si>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</si>
  <si>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</si>
  <si>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</si>
  <si>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</si>
  <si>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</si>
  <si>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</si>
  <si>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</si>
  <si>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</si>
  <si>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</si>
  <si>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</si>
  <si>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</si>
  <si>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</si>
  <si>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</si>
  <si>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</si>
  <si>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</si>
  <si>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</si>
  <si>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</si>
  <si>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</si>
  <si>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</si>
  <si>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</si>
  <si>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</si>
  <si>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</si>
  <si>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</si>
  <si>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</si>
  <si>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</si>
  <si>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</si>
  <si>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</si>
  <si>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</si>
  <si>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</si>
  <si>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</si>
  <si>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</si>
  <si>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</si>
  <si>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</si>
  <si>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</si>
  <si>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</si>
  <si>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</si>
  <si>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</si>
  <si>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</si>
  <si>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</si>
  <si>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</si>
  <si>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</si>
  <si>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</si>
  <si>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</si>
  <si>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</si>
  <si>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</si>
  <si>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</si>
  <si>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</si>
  <si>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</si>
  <si>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</si>
  <si>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</si>
  <si>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</si>
  <si>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</si>
  <si>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</si>
  <si>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</si>
  <si>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</si>
  <si>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</si>
  <si>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</si>
  <si>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</si>
  <si>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</si>
  <si>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</si>
  <si>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</si>
  <si>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</si>
  <si>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</si>
  <si>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</si>
  <si>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</si>
  <si>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</si>
  <si>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</si>
  <si>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</si>
  <si>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</si>
  <si>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</si>
  <si>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</si>
  <si>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</si>
  <si>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</si>
  <si>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</si>
  <si>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</si>
  <si>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</si>
  <si>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</si>
  <si>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</si>
  <si>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</si>
  <si>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</si>
  <si>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</si>
  <si>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</si>
  <si>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</si>
  <si>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</si>
  <si>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</si>
  <si>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</si>
  <si>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</si>
  <si>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</si>
  <si>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</si>
  <si>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</si>
  <si>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</si>
  <si>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</si>
  <si>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</si>
  <si>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</si>
  <si>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</si>
  <si>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</si>
  <si>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</si>
  <si>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</si>
  <si>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</si>
  <si>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</si>
  <si>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</si>
  <si>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</si>
  <si>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</si>
  <si>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</si>
  <si>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</si>
  <si>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</si>
  <si>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</si>
  <si>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</si>
  <si>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</si>
  <si>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</si>
  <si>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</si>
  <si>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</si>
  <si>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</si>
  <si>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</si>
  <si>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</si>
  <si>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</si>
  <si>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</si>
  <si>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</si>
  <si>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</si>
  <si>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</si>
  <si>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</si>
  <si>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</si>
  <si>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</si>
  <si>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</si>
  <si>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</si>
  <si>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</si>
  <si>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</si>
  <si>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</si>
  <si>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</si>
  <si>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</si>
  <si>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</si>
  <si>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</si>
  <si>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</si>
  <si>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</si>
  <si>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</si>
  <si>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</si>
  <si>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</si>
  <si>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</si>
  <si>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</si>
  <si>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</si>
  <si>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</si>
  <si>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</si>
  <si>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</si>
  <si>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</si>
  <si>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</si>
  <si>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</si>
  <si>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</si>
  <si>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</si>
  <si>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</si>
  <si>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</si>
  <si>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</si>
  <si>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</si>
  <si>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</si>
  <si>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</si>
  <si>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</si>
  <si>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</si>
  <si>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</si>
  <si>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</si>
  <si>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</si>
  <si>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</si>
  <si>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</si>
  <si>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</si>
  <si>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</si>
  <si>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</si>
  <si>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</si>
  <si>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</si>
  <si>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</si>
  <si>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</si>
  <si>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</si>
  <si>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</si>
  <si>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</si>
  <si>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</si>
  <si>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</si>
  <si>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</si>
  <si>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</si>
  <si>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</si>
  <si>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</si>
  <si>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</si>
  <si>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</si>
  <si>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</si>
  <si>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</si>
  <si>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</si>
  <si>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</si>
  <si>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</si>
  <si>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</si>
  <si>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</si>
  <si>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</si>
  <si>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</si>
  <si>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</si>
  <si>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</si>
  <si>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</si>
  <si>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</si>
  <si>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</si>
  <si>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</si>
  <si>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</si>
  <si>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</si>
  <si>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</si>
  <si>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</si>
  <si>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</si>
  <si>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</si>
  <si>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</si>
  <si>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</si>
  <si>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</si>
  <si>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</si>
  <si>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</si>
  <si>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</si>
  <si>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</si>
  <si>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</si>
  <si>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</si>
  <si>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</si>
  <si>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</si>
  <si>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</si>
  <si>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</si>
  <si>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</si>
  <si>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</si>
  <si>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</si>
  <si>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</si>
  <si>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</si>
  <si>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</si>
  <si>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</si>
  <si>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</si>
  <si>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</si>
  <si>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</si>
  <si>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</si>
  <si>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</si>
  <si>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</si>
  <si>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</si>
  <si>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</si>
  <si>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</si>
  <si>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</si>
  <si>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</si>
  <si>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</si>
  <si>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</si>
  <si>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</si>
  <si>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</si>
  <si>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</si>
  <si>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</si>
  <si>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</si>
  <si>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</si>
  <si>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</si>
  <si>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</si>
  <si>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</si>
  <si>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</si>
  <si>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</si>
  <si>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</si>
  <si>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</si>
  <si>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</si>
  <si>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</si>
  <si>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</si>
  <si>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</si>
  <si>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</si>
  <si>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</si>
  <si>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</si>
  <si>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</si>
  <si>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</si>
  <si>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</si>
  <si>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</si>
  <si>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</si>
  <si>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</si>
  <si>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</si>
  <si>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</si>
  <si>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</si>
  <si>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</si>
  <si>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</si>
  <si>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</si>
  <si>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</si>
  <si>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</si>
  <si>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</si>
  <si>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</si>
  <si>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</si>
  <si>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</si>
  <si>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</si>
  <si>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</si>
  <si>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</si>
  <si>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</si>
  <si>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</si>
  <si>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</si>
  <si>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</si>
  <si>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</si>
  <si>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</si>
  <si>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</si>
  <si>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</si>
  <si>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</si>
  <si>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</si>
  <si>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</si>
  <si>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</si>
  <si>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</si>
  <si>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</si>
  <si>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</si>
  <si>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</si>
  <si>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</si>
  <si>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</si>
  <si>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</si>
  <si>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</si>
  <si>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</si>
  <si>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</si>
  <si>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</si>
  <si>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</si>
  <si>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</si>
  <si>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</si>
  <si>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</si>
  <si>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</si>
  <si>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</si>
  <si>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</si>
  <si>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</si>
  <si>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</si>
  <si>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</si>
  <si>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</si>
  <si>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</si>
  <si>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</si>
  <si>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</si>
  <si>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</si>
  <si>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</si>
  <si>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</si>
  <si>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</si>
  <si>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</si>
  <si>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</si>
  <si>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</si>
  <si>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</si>
  <si>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</si>
  <si>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</si>
  <si>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</si>
  <si>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</si>
  <si>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</si>
  <si>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</si>
  <si>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</si>
  <si>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</si>
  <si>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</si>
  <si>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</si>
  <si>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</si>
  <si>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</si>
  <si>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</si>
  <si>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</si>
  <si>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</si>
  <si>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</si>
  <si>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</si>
  <si>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</si>
  <si>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</si>
  <si>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</si>
  <si>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</si>
  <si>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</si>
  <si>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</si>
  <si>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</si>
  <si>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</si>
  <si>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</si>
  <si>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</si>
  <si>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</si>
  <si>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</si>
  <si>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</si>
  <si>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</si>
  <si>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</si>
  <si>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</si>
  <si>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</si>
  <si>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</si>
  <si>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</si>
  <si>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</si>
  <si>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</si>
  <si>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</si>
  <si>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</si>
  <si>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</si>
  <si>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</si>
  <si>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</si>
  <si>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</si>
  <si>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</si>
  <si>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</si>
  <si>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</si>
  <si>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</si>
  <si>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</si>
  <si>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</si>
  <si>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</si>
  <si>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</si>
  <si>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</si>
  <si>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</si>
  <si>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</si>
  <si>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</si>
  <si>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</si>
  <si>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</si>
  <si>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</si>
  <si>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</si>
  <si>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</si>
  <si>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</si>
  <si>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</si>
  <si>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</si>
  <si>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</si>
  <si>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</si>
  <si>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</si>
  <si>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</si>
  <si>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</si>
  <si>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</si>
  <si>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</si>
  <si>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</si>
  <si>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</si>
  <si>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</si>
  <si>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</si>
  <si>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</si>
  <si>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</si>
  <si>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</si>
  <si>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</si>
  <si>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</si>
  <si>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</si>
  <si>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</si>
  <si>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</si>
  <si>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</si>
  <si>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</si>
  <si>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</si>
  <si>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</si>
  <si>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</si>
  <si>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</si>
  <si>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</si>
  <si>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</si>
  <si>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</si>
  <si>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</si>
  <si>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</si>
  <si>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</si>
  <si>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</si>
  <si>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</si>
  <si>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</si>
  <si>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</si>
  <si>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</si>
  <si>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</si>
  <si>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</si>
  <si>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</si>
  <si>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</si>
  <si>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</si>
  <si>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</si>
  <si>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</si>
  <si>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</si>
  <si>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</si>
  <si>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</si>
  <si>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</si>
  <si>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</si>
  <si>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</si>
  <si>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</si>
  <si>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</si>
  <si>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</si>
  <si>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</si>
  <si>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</si>
  <si>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</si>
  <si>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</si>
  <si>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</si>
  <si>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</si>
  <si>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</si>
  <si>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</si>
  <si>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</si>
  <si>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</si>
  <si>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</si>
  <si>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</si>
  <si>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</si>
  <si>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</si>
  <si>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</si>
  <si>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</si>
  <si>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</si>
  <si>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</si>
  <si>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</si>
  <si>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</si>
  <si>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</si>
  <si>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</si>
  <si>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</si>
  <si>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</si>
  <si>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</si>
  <si>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</si>
  <si>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</si>
  <si>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</si>
  <si>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</si>
  <si>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</si>
  <si>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</si>
  <si>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</si>
  <si>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</si>
  <si>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</si>
  <si>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</si>
  <si>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</si>
  <si>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</si>
  <si>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</si>
  <si>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</si>
  <si>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</si>
  <si>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</si>
  <si>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</si>
  <si>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</si>
  <si>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</si>
  <si>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</si>
  <si>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</si>
  <si>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</si>
  <si>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</si>
  <si>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</si>
  <si>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</si>
  <si>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</si>
  <si>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</si>
  <si>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</si>
  <si>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</si>
  <si>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</si>
  <si>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</si>
  <si>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</si>
  <si>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</si>
  <si>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</si>
  <si>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</si>
  <si>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</si>
  <si>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</si>
  <si>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</si>
  <si>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</si>
  <si>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</si>
  <si>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</si>
  <si>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</si>
  <si>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</si>
  <si>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</si>
  <si>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</si>
  <si>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</si>
  <si>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</si>
  <si>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</si>
  <si>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</si>
  <si>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</si>
  <si>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</si>
  <si>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</si>
  <si>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</si>
  <si>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</si>
  <si>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</si>
  <si>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</si>
  <si>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</si>
  <si>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</si>
  <si>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</si>
  <si>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</si>
  <si>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</si>
  <si>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</si>
  <si>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</si>
  <si>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</si>
  <si>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</si>
  <si>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</si>
  <si>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</si>
  <si>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</si>
  <si>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</si>
  <si>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</si>
  <si>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</si>
  <si>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</si>
  <si>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</si>
  <si>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</si>
  <si>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</si>
  <si>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</si>
  <si>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</si>
  <si>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</si>
  <si>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</si>
  <si>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</si>
  <si>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</si>
  <si>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</si>
  <si>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</si>
  <si>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</si>
  <si>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</si>
  <si>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</si>
  <si>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</si>
  <si>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</si>
  <si>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</si>
  <si>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</si>
  <si>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</si>
  <si>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</si>
  <si>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</si>
  <si>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</si>
  <si>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</si>
  <si>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</si>
  <si>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</si>
  <si>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</si>
  <si>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</si>
  <si>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</si>
  <si>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</si>
  <si>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</si>
  <si>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</si>
  <si>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</si>
  <si>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</si>
  <si>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</si>
  <si>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</si>
  <si>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</si>
  <si>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</si>
  <si>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</si>
  <si>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</si>
  <si>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</si>
  <si>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</si>
  <si>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</si>
  <si>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</si>
  <si>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</si>
  <si>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</si>
  <si>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</si>
  <si>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</si>
  <si>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</si>
  <si>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</si>
  <si>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</si>
  <si>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</si>
  <si>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</si>
  <si>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</si>
  <si>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</si>
  <si>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</si>
  <si>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</si>
  <si>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</si>
  <si>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</si>
  <si>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</si>
  <si>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</si>
  <si>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</si>
  <si>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</si>
  <si>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</si>
  <si>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</si>
  <si>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</si>
  <si>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</si>
  <si>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</si>
  <si>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</si>
  <si>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</si>
  <si>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</si>
  <si>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</si>
  <si>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</si>
  <si>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</si>
  <si>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</si>
  <si>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</si>
  <si>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</si>
  <si>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</si>
  <si>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</si>
  <si>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</si>
  <si>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</si>
  <si>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</si>
  <si>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</si>
  <si>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</si>
  <si>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</si>
  <si>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</si>
  <si>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</si>
  <si>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</si>
  <si>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</si>
  <si>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</si>
  <si>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</si>
  <si>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</si>
  <si>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</si>
  <si>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</si>
  <si>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</si>
  <si>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</si>
  <si>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</si>
  <si>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</si>
  <si>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</si>
  <si>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</si>
  <si>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</si>
  <si>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</si>
  <si>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</si>
  <si>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</si>
  <si>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</si>
  <si>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</si>
  <si>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</si>
  <si>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</si>
  <si>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</si>
  <si>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</si>
  <si>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</si>
  <si>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</si>
  <si>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</si>
  <si>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</si>
  <si>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</si>
  <si>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</si>
  <si>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</si>
  <si>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</si>
  <si>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</si>
  <si>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</si>
  <si>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</si>
  <si>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</si>
  <si>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</si>
  <si>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</si>
  <si>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</si>
  <si>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</si>
  <si>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</si>
  <si>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</si>
  <si>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</si>
  <si>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</si>
  <si>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</si>
  <si>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</si>
  <si>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</si>
  <si>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</si>
  <si>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</si>
  <si>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</si>
  <si>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</si>
  <si>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</si>
  <si>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</si>
  <si>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</si>
  <si>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</si>
  <si>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</si>
  <si>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</si>
  <si>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</si>
  <si>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</si>
  <si>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</si>
  <si>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</si>
  <si>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</si>
  <si>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</si>
  <si>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</si>
  <si>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</si>
  <si>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</si>
  <si>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</si>
  <si>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</si>
  <si>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</si>
  <si>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</si>
  <si>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</si>
  <si>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</si>
  <si>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</si>
  <si>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</si>
  <si>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</si>
  <si>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</si>
  <si>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</si>
  <si>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</si>
  <si>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</si>
  <si>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</si>
  <si>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</si>
  <si>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</si>
  <si>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</si>
  <si>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</si>
  <si>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</si>
  <si>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</si>
  <si>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</si>
  <si>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</si>
  <si>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</si>
  <si>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</si>
  <si>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</si>
  <si>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</si>
  <si>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</si>
  <si>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</si>
  <si>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</si>
  <si>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</si>
  <si>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</si>
  <si>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</si>
  <si>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</si>
  <si>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</si>
  <si>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</si>
  <si>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</si>
  <si>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</si>
  <si>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</si>
  <si>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</si>
  <si>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</si>
  <si>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</si>
  <si>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</si>
  <si>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</si>
  <si>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</si>
  <si>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</si>
  <si>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</si>
  <si>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</si>
  <si>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</si>
  <si>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</si>
  <si>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</si>
  <si>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</si>
  <si>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</si>
  <si>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</si>
  <si>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</si>
  <si>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</si>
  <si>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</si>
  <si>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</si>
  <si>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</si>
  <si>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</si>
  <si>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</si>
  <si>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</si>
  <si>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</si>
  <si>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</si>
  <si>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</si>
  <si>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</si>
  <si>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</si>
  <si>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</si>
  <si>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</si>
  <si>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</si>
  <si>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</si>
  <si>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</si>
  <si>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</si>
  <si>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</si>
  <si>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</si>
  <si>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</si>
  <si>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</si>
  <si>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</si>
  <si>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</si>
  <si>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</si>
  <si>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</si>
  <si>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</si>
  <si>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</si>
  <si>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</si>
  <si>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</si>
  <si>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</si>
  <si>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</si>
  <si>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</si>
  <si>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</si>
  <si>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</si>
  <si>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</si>
  <si>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</si>
  <si>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</si>
  <si>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</si>
  <si>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</si>
  <si>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</si>
  <si>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</si>
  <si>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</si>
  <si>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</si>
  <si>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</si>
  <si>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</si>
  <si>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</si>
  <si>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</si>
  <si>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</si>
  <si>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</si>
  <si>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</si>
  <si>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</si>
  <si>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</si>
  <si>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</si>
  <si>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</si>
  <si>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</si>
  <si>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</si>
  <si>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</si>
  <si>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</si>
  <si>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</si>
  <si>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</si>
  <si>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</si>
  <si>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</si>
  <si>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</si>
  <si>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</si>
  <si>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</si>
  <si>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</si>
  <si>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</si>
  <si>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</si>
  <si>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</si>
  <si>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</si>
  <si>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</si>
  <si>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</si>
  <si>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</si>
  <si>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</si>
  <si>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</si>
  <si>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</si>
  <si>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</si>
  <si>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</si>
  <si>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</si>
  <si>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</si>
  <si>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</si>
  <si>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</si>
  <si>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</si>
  <si>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</si>
  <si>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</si>
  <si>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</si>
  <si>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</si>
  <si>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</si>
  <si>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</si>
  <si>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</si>
  <si>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</si>
  <si>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</si>
  <si>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</si>
  <si>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</si>
  <si>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</si>
  <si>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</si>
  <si>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</si>
  <si>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</si>
  <si>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</si>
  <si>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</si>
  <si>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</si>
  <si>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</si>
  <si>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</si>
  <si>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</si>
  <si>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</si>
  <si>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</si>
  <si>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</si>
  <si>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</si>
  <si>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</si>
  <si>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</si>
  <si>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</si>
  <si>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</si>
  <si>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</si>
  <si>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</si>
  <si>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</si>
  <si>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</si>
  <si>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</si>
  <si>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</si>
  <si>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</si>
  <si>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</si>
  <si>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</si>
  <si>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</si>
  <si>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</si>
  <si>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</si>
  <si>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</si>
  <si>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</si>
  <si>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</si>
  <si>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</si>
  <si>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</si>
  <si>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</si>
  <si>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</si>
  <si>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</si>
  <si>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</si>
  <si>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</si>
  <si>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</si>
  <si>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</si>
  <si>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</si>
  <si>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</si>
  <si>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</si>
  <si>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</si>
  <si>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</si>
  <si>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</si>
  <si>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</si>
  <si>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</si>
  <si>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</si>
  <si>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</si>
  <si>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</si>
  <si>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</si>
  <si>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</si>
  <si>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</si>
  <si>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</si>
  <si>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</si>
  <si>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</si>
  <si>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</si>
  <si>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</si>
  <si>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</si>
  <si>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</si>
  <si>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</si>
  <si>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</si>
  <si>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</si>
  <si>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</si>
  <si>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</si>
  <si>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</si>
  <si>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</si>
  <si>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</si>
  <si>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</si>
  <si>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</si>
  <si>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</si>
  <si>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</si>
  <si>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</si>
  <si>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</si>
  <si>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</si>
  <si>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</si>
  <si>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</si>
  <si>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</si>
  <si>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</si>
  <si>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</si>
  <si>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</si>
  <si>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</si>
  <si>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</si>
  <si>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</si>
  <si>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</si>
  <si>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</si>
  <si>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</si>
  <si>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</si>
  <si>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</si>
  <si>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</si>
  <si>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</si>
  <si>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</si>
  <si>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</si>
  <si>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</si>
  <si>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</si>
  <si>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</si>
  <si>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</si>
  <si>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</si>
  <si>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</si>
  <si>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</si>
  <si>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</si>
  <si>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</si>
  <si>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</si>
  <si>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</si>
  <si>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</si>
  <si>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</si>
  <si>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</si>
  <si>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</si>
  <si>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</si>
  <si>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</si>
  <si>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</si>
  <si>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</si>
  <si>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</si>
  <si>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</si>
  <si>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</si>
  <si>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</si>
  <si>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</si>
  <si>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</si>
  <si>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</si>
  <si>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</si>
  <si>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</si>
  <si>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</si>
  <si>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</si>
  <si>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</si>
  <si>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</si>
  <si>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</si>
  <si>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</si>
  <si>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</si>
  <si>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</si>
  <si>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</si>
  <si>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</si>
  <si>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</si>
  <si>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</si>
  <si>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</si>
  <si>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</si>
  <si>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</si>
  <si>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</si>
  <si>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</si>
  <si>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</si>
  <si>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</si>
  <si>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</si>
  <si>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</si>
  <si>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</si>
  <si>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</si>
  <si>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</si>
  <si>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</si>
  <si>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</si>
  <si>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</si>
  <si>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</si>
  <si>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</si>
  <si>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</si>
  <si>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</si>
  <si>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</si>
  <si>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</si>
  <si>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</si>
  <si>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</si>
  <si>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</si>
  <si>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</si>
  <si>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</si>
  <si>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</si>
  <si>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</si>
  <si>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</si>
  <si>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</si>
  <si>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</si>
  <si>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</si>
  <si>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</si>
  <si>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</si>
  <si>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</si>
  <si>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</si>
  <si>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</si>
  <si>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</si>
  <si>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</si>
  <si>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</si>
  <si>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</si>
  <si>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</si>
  <si>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</si>
  <si>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</si>
  <si>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</si>
  <si>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</si>
  <si>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</si>
  <si>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</si>
  <si>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</si>
  <si>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</si>
  <si>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</si>
  <si>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</si>
  <si>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</si>
  <si>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</si>
  <si>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</si>
  <si>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</si>
  <si>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</si>
  <si>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</si>
  <si>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</si>
  <si>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</si>
  <si>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</si>
  <si>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</si>
  <si>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</si>
  <si>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</si>
  <si>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</si>
  <si>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</si>
  <si>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</si>
  <si>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</si>
  <si>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</si>
  <si>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</si>
  <si>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</si>
  <si>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</si>
  <si>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</si>
  <si>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</si>
  <si>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</si>
  <si>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</si>
  <si>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</si>
  <si>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</si>
  <si>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</si>
  <si>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</si>
  <si>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</si>
  <si>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</si>
  <si>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</si>
  <si>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</si>
  <si>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</si>
  <si>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</si>
  <si>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</si>
  <si>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</si>
  <si>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</si>
  <si>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</si>
  <si>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</si>
  <si>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</si>
  <si>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</si>
  <si>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</si>
  <si>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</si>
  <si>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</si>
  <si>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</si>
  <si>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</si>
  <si>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</si>
  <si>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</si>
  <si>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</si>
  <si>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</si>
  <si>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</si>
  <si>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</si>
  <si>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</si>
  <si>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</si>
  <si>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</si>
  <si>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</si>
  <si>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</si>
  <si>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</si>
  <si>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</si>
  <si>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</si>
  <si>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</si>
  <si>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</si>
  <si>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</si>
  <si>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</si>
  <si>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</si>
  <si>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</si>
  <si>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</si>
  <si>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</si>
  <si>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</si>
  <si>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</si>
  <si>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</si>
  <si>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</si>
  <si>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</si>
  <si>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</si>
  <si>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</si>
  <si>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</si>
  <si>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</si>
  <si>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</si>
  <si>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</si>
  <si>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</si>
  <si>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</si>
  <si>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</si>
  <si>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</si>
  <si>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</si>
  <si>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</si>
  <si>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</si>
  <si>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</si>
  <si>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</si>
  <si>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</si>
  <si>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</si>
  <si>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</si>
  <si>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</si>
  <si>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</si>
  <si>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</si>
  <si>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</si>
  <si>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</si>
  <si>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</si>
  <si>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</si>
  <si>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</si>
  <si>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</si>
  <si>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</si>
  <si>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</si>
  <si>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</si>
  <si>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</si>
  <si>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</si>
  <si>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</si>
  <si>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</si>
  <si>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</si>
  <si>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</si>
  <si>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</si>
  <si>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</si>
  <si>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</si>
  <si>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</si>
  <si>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</si>
  <si>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</si>
  <si>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</si>
  <si>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</si>
  <si>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</si>
  <si>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</si>
  <si>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</si>
  <si>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</si>
  <si>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</si>
  <si>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</si>
  <si>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</si>
  <si>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</si>
  <si>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</si>
  <si>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</si>
  <si>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</si>
  <si>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</si>
  <si>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</si>
  <si>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</si>
  <si>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</si>
  <si>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</si>
  <si>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</si>
  <si>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</si>
  <si>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</si>
  <si>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</si>
  <si>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</si>
  <si>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</si>
  <si>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</si>
  <si>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</si>
  <si>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</si>
  <si>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</si>
  <si>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</si>
  <si>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</si>
  <si>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</si>
  <si>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</si>
  <si>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</si>
  <si>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</si>
  <si>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</si>
  <si>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</si>
  <si>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</si>
  <si>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</si>
  <si>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</si>
  <si>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</si>
  <si>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</si>
  <si>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</si>
  <si>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</si>
  <si>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</si>
  <si>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</si>
  <si>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</si>
  <si>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</si>
  <si>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</si>
  <si>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</si>
  <si>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</si>
  <si>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</si>
  <si>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</si>
  <si>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</si>
  <si>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</si>
  <si>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</si>
  <si>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</si>
  <si>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</si>
  <si>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</si>
  <si>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</si>
  <si>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</si>
  <si>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</si>
  <si>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</si>
  <si>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</si>
  <si>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</si>
  <si>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</si>
  <si>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</si>
  <si>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</si>
  <si>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</si>
  <si>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</si>
  <si>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</si>
  <si>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</si>
  <si>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</si>
  <si>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</si>
  <si>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</si>
  <si>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</si>
  <si>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</si>
  <si>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</si>
  <si>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</si>
  <si>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</si>
  <si>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</si>
  <si>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</si>
  <si>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</si>
  <si>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</si>
  <si>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</si>
  <si>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</si>
  <si>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</si>
  <si>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</si>
  <si>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</si>
  <si>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</si>
  <si>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</si>
  <si>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</si>
  <si>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</si>
  <si>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</si>
  <si>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</si>
  <si>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</si>
  <si>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</si>
  <si>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</si>
  <si>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</si>
  <si>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</si>
  <si>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</si>
  <si>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</si>
  <si>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</si>
  <si>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</si>
  <si>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</si>
  <si>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</si>
  <si>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</si>
  <si>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</si>
  <si>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</si>
  <si>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</si>
  <si>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</si>
  <si>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</si>
  <si>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</si>
  <si>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</si>
  <si>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</si>
  <si>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</si>
  <si>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</si>
  <si>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</si>
  <si>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</si>
  <si>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</si>
  <si>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</si>
  <si>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</si>
  <si>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</si>
  <si>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</si>
  <si>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</si>
  <si>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</si>
  <si>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</si>
  <si>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</si>
  <si>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</si>
  <si>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</si>
  <si>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</si>
  <si>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</si>
  <si>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</si>
  <si>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</si>
  <si>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</si>
  <si>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</si>
  <si>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</si>
  <si>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</si>
  <si>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</si>
  <si>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</si>
  <si>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</si>
  <si>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</si>
  <si>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</si>
  <si>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</si>
  <si>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</si>
  <si>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</si>
  <si>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</si>
  <si>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</si>
  <si>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</si>
  <si>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</si>
  <si>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</si>
  <si>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</si>
  <si>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</si>
  <si>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</si>
  <si>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</si>
  <si>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</si>
  <si>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</si>
  <si>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</si>
  <si>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</si>
  <si>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</si>
  <si>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</si>
  <si>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</si>
  <si>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</si>
  <si>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</si>
  <si>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</si>
  <si>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</si>
  <si>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</si>
  <si>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</si>
  <si>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</si>
  <si>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</si>
  <si>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</si>
  <si>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</si>
  <si>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</si>
  <si>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</si>
  <si>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</si>
  <si>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</si>
  <si>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</si>
  <si>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</si>
  <si>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</si>
  <si>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</si>
  <si>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</si>
  <si>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</si>
  <si>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</si>
  <si>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</si>
  <si>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</si>
  <si>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</si>
  <si>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</si>
  <si>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</si>
  <si>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</si>
  <si>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</si>
  <si>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</si>
  <si>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</si>
  <si>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</si>
  <si>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</si>
  <si>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</si>
  <si>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</si>
  <si>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</si>
  <si>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</si>
  <si>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</si>
  <si>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</si>
  <si>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</si>
  <si>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</si>
  <si>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</si>
  <si>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</si>
  <si>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</si>
  <si>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</si>
  <si>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</si>
  <si>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</si>
  <si>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</si>
  <si>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</si>
  <si>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</si>
  <si>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</si>
  <si>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</si>
  <si>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</si>
  <si>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</si>
  <si>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</si>
  <si>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</si>
  <si>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</si>
  <si>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</si>
  <si>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</si>
  <si>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</si>
  <si>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</si>
  <si>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</si>
  <si>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</si>
  <si>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</si>
  <si>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</si>
  <si>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</si>
  <si>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</si>
  <si>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</si>
  <si>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</si>
  <si>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</si>
  <si>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</si>
  <si>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</si>
  <si>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</si>
  <si>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</si>
  <si>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</si>
  <si>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</si>
  <si>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</si>
  <si>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</si>
  <si>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</si>
  <si>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</si>
  <si>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</si>
  <si>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</si>
  <si>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</si>
  <si>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</si>
  <si>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</si>
  <si>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</si>
  <si>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</si>
  <si>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</si>
  <si>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</si>
  <si>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</si>
  <si>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</si>
  <si>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</si>
  <si>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</si>
  <si>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</si>
  <si>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</si>
  <si>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</si>
  <si>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</si>
  <si>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</si>
  <si>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</si>
  <si>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</si>
  <si>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</si>
  <si>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</si>
  <si>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</si>
  <si>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</si>
  <si>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</si>
  <si>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</si>
  <si>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</si>
  <si>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</si>
  <si>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</si>
  <si>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</si>
  <si>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</si>
  <si>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</si>
  <si>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</si>
  <si>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</si>
  <si>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</si>
  <si>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</si>
  <si>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</si>
  <si>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</si>
  <si>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</si>
  <si>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</si>
  <si>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</si>
  <si>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</si>
  <si>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</si>
  <si>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</si>
  <si>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</si>
  <si>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</si>
  <si>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</si>
  <si>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</si>
  <si>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</si>
  <si>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</si>
  <si>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</si>
  <si>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</si>
  <si>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</si>
  <si>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</si>
  <si>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</si>
  <si>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</si>
  <si>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</si>
  <si>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</si>
  <si>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</si>
  <si>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</si>
  <si>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</si>
  <si>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</si>
  <si>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</si>
  <si>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</si>
  <si>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</si>
  <si>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</si>
  <si>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</si>
  <si>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</si>
  <si>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</si>
  <si>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</si>
  <si>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</si>
  <si>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</si>
  <si>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</si>
  <si>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</si>
  <si>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</si>
  <si>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</si>
  <si>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</si>
  <si>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</si>
  <si>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</si>
  <si>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</si>
  <si>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</si>
  <si>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</si>
  <si>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</si>
  <si>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</si>
  <si>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</si>
  <si>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</si>
  <si>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</si>
  <si>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</si>
  <si>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</si>
  <si>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</si>
  <si>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</si>
  <si>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</si>
  <si>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</si>
  <si>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</si>
  <si>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</si>
  <si>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</si>
  <si>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</si>
  <si>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</si>
  <si>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</si>
  <si>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</si>
  <si>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</si>
  <si>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</si>
  <si>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</si>
  <si>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</si>
  <si>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</si>
  <si>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</si>
  <si>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</si>
  <si>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</si>
  <si>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</si>
  <si>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</si>
  <si>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</si>
  <si>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</si>
  <si>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</si>
  <si>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</si>
  <si>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</si>
  <si>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</si>
  <si>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</si>
  <si>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</si>
  <si>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</si>
  <si>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</si>
  <si>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</si>
  <si>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</si>
  <si>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</si>
  <si>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</si>
  <si>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</si>
  <si>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</si>
  <si>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</si>
  <si>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</si>
  <si>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</si>
  <si>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</si>
  <si>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</si>
  <si>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</si>
  <si>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</si>
  <si>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</si>
  <si>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</si>
  <si>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</si>
  <si>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</si>
  <si>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</si>
  <si>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</si>
  <si>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</si>
  <si>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</si>
  <si>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</si>
  <si>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</si>
  <si>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</si>
  <si>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</si>
  <si>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</si>
  <si>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</si>
  <si>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</si>
  <si>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</si>
  <si>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</si>
  <si>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</si>
  <si>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</si>
  <si>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</si>
  <si>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</si>
  <si>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</si>
  <si>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</si>
  <si>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</si>
  <si>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</si>
  <si>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</si>
  <si>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</si>
  <si>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</si>
  <si>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</si>
  <si>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</si>
  <si>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</si>
  <si>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</si>
  <si>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</si>
  <si>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</si>
  <si>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</si>
  <si>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</si>
  <si>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</si>
  <si>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</si>
  <si>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</si>
  <si>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</si>
  <si>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</si>
  <si>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</si>
  <si>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</si>
  <si>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</si>
  <si>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</si>
  <si>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</si>
  <si>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</si>
  <si>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</si>
  <si>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</si>
  <si>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</si>
  <si>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</si>
  <si>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</si>
  <si>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</si>
  <si>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</si>
  <si>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</si>
  <si>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</si>
  <si>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</si>
  <si>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</si>
  <si>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</si>
  <si>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</si>
  <si>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</si>
  <si>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</si>
  <si>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</si>
  <si>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</si>
  <si>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</si>
  <si>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</si>
  <si>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</si>
  <si>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</si>
  <si>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</si>
  <si>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</si>
  <si>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</si>
  <si>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</si>
  <si>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</si>
  <si>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</si>
  <si>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</si>
  <si>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</si>
  <si>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</si>
  <si>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</si>
  <si>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</si>
  <si>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</si>
  <si>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</si>
  <si>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</si>
  <si>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</si>
  <si>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</si>
  <si>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</si>
  <si>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</si>
  <si>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</si>
  <si>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</si>
  <si>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</si>
  <si>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</si>
  <si>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</si>
  <si>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</si>
  <si>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</si>
  <si>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</si>
  <si>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</si>
  <si>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</si>
  <si>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</si>
  <si>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</si>
  <si>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</si>
  <si>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</si>
  <si>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</si>
  <si>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</si>
  <si>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</si>
  <si>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</si>
  <si>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</si>
  <si>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</si>
  <si>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</si>
  <si>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</si>
  <si>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</si>
  <si>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</si>
  <si>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</si>
  <si>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</si>
  <si>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</si>
  <si>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</si>
  <si>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</si>
  <si>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</si>
  <si>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</si>
  <si>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</si>
  <si>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</si>
  <si>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</si>
  <si>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</si>
  <si>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</si>
  <si>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</si>
  <si>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</si>
  <si>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</si>
  <si>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</si>
  <si>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</si>
  <si>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</si>
  <si>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</si>
  <si>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</si>
  <si>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</si>
  <si>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</si>
  <si>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</si>
  <si>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</si>
  <si>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</si>
  <si>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</si>
  <si>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</si>
  <si>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</si>
  <si>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</si>
  <si>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</si>
  <si>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</si>
  <si>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</si>
  <si>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</si>
  <si>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</si>
  <si>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</si>
  <si>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</si>
  <si>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</si>
  <si>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</si>
  <si>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</si>
  <si>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</si>
  <si>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</si>
  <si>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</si>
  <si>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</si>
  <si>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</si>
  <si>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</si>
  <si>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</si>
  <si>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</si>
  <si>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</si>
  <si>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</si>
  <si>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</si>
  <si>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</si>
  <si>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</si>
  <si>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</si>
  <si>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</si>
  <si>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</si>
  <si>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</si>
  <si>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</si>
  <si>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</si>
  <si>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</si>
  <si>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</si>
  <si>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</si>
  <si>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</si>
  <si>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</si>
  <si>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</si>
  <si>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</si>
  <si>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</si>
  <si>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</si>
  <si>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</si>
  <si>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</si>
  <si>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</si>
  <si>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</si>
  <si>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</si>
  <si>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</si>
  <si>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</si>
  <si>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</si>
  <si>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</si>
  <si>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</si>
  <si>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</si>
  <si>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</si>
  <si>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</si>
  <si>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</si>
  <si>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</si>
  <si>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</si>
  <si>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</si>
  <si>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</si>
  <si>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</si>
  <si>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</si>
  <si>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</si>
  <si>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</si>
  <si>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</si>
  <si>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</si>
  <si>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</si>
  <si>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</si>
  <si>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</si>
  <si>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</si>
  <si>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</si>
  <si>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</si>
  <si>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</si>
  <si>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</si>
  <si>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</si>
  <si>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</si>
  <si>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</si>
  <si>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</si>
  <si>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</si>
  <si>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</si>
  <si>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</si>
  <si>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</si>
  <si>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</si>
  <si>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</si>
  <si>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</si>
  <si>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</si>
  <si>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</si>
  <si>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</si>
  <si>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</si>
  <si>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</si>
  <si>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</si>
  <si>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</si>
  <si>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</si>
  <si>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</si>
  <si>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</si>
  <si>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</si>
  <si>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</si>
  <si>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</si>
  <si>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</si>
  <si>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</si>
  <si>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</si>
  <si>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</si>
  <si>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</si>
  <si>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</si>
  <si>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</si>
  <si>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</si>
  <si>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</si>
  <si>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</si>
  <si>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</si>
  <si>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</si>
  <si>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</si>
  <si>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</si>
  <si>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</si>
  <si>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</si>
  <si>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</si>
  <si>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</si>
  <si>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</si>
  <si>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</si>
  <si>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</si>
  <si>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</si>
  <si>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</si>
  <si>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</si>
  <si>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</si>
  <si>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</si>
  <si>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</si>
  <si>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</si>
  <si>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</si>
  <si>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</si>
  <si>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</si>
  <si>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</si>
  <si>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</si>
  <si>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</si>
  <si>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</si>
  <si>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</si>
  <si>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</si>
  <si>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</si>
  <si>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</si>
  <si>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</si>
  <si>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</si>
  <si>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</si>
  <si>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</si>
  <si>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</si>
  <si>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</si>
  <si>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</si>
  <si>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</si>
  <si>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</si>
  <si>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</si>
  <si>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</si>
  <si>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</si>
  <si>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</si>
  <si>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</si>
  <si>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</si>
  <si>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</si>
  <si>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</si>
  <si>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</si>
  <si>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</si>
  <si>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</si>
  <si>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</si>
  <si>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</si>
  <si>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</si>
  <si>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</si>
  <si>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</si>
  <si>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</si>
  <si>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</si>
  <si>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</si>
  <si>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</si>
  <si>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</si>
  <si>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</si>
  <si>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</si>
  <si>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</si>
  <si>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</si>
  <si>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</si>
  <si>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</si>
  <si>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</si>
  <si>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</si>
  <si>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</si>
  <si>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</si>
  <si>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</si>
  <si>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</si>
  <si>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</si>
  <si>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</si>
  <si>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</si>
  <si>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</si>
  <si>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</si>
  <si>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</si>
  <si>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</si>
  <si>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</si>
  <si>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</si>
  <si>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</si>
  <si>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</si>
  <si>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</si>
  <si>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</si>
  <si>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</si>
  <si>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</si>
  <si>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</si>
  <si>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</si>
  <si>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</si>
  <si>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</si>
  <si>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</si>
  <si>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</si>
  <si>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</si>
  <si>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</si>
  <si>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</si>
  <si>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</si>
  <si>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</si>
  <si>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</si>
  <si>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</si>
  <si>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</si>
  <si>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</si>
  <si>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</si>
  <si>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</si>
  <si>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</si>
  <si>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</si>
  <si>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</si>
  <si>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</si>
  <si>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</si>
  <si>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</si>
  <si>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</si>
  <si>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</si>
  <si>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</si>
  <si>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</si>
  <si>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</si>
  <si>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</si>
  <si>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</si>
  <si>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</si>
  <si>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</si>
  <si>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</si>
  <si>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</si>
  <si>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</si>
  <si>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</si>
  <si>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</si>
  <si>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</si>
  <si>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</si>
  <si>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</si>
  <si>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</si>
  <si>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</si>
  <si>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</si>
  <si>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</si>
  <si>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</si>
  <si>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</si>
  <si>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</si>
  <si>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</si>
  <si>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</si>
  <si>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</si>
  <si>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</si>
  <si>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</si>
  <si>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</si>
  <si>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</si>
  <si>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</si>
  <si>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</si>
  <si>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</si>
  <si>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</si>
  <si>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</si>
  <si>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</si>
  <si>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</si>
  <si>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</si>
  <si>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</si>
  <si>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</si>
  <si>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</si>
  <si>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</si>
  <si>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</si>
  <si>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</si>
  <si>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</si>
  <si>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</si>
  <si>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</si>
  <si>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</si>
  <si>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</si>
  <si>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</si>
  <si>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</si>
  <si>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</si>
  <si>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</si>
  <si>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</si>
  <si>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</si>
  <si>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</si>
  <si>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</si>
  <si>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</si>
  <si>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</si>
  <si>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</si>
  <si>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</si>
  <si>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</si>
  <si>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</si>
  <si>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</si>
  <si>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</si>
  <si>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</si>
  <si>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</si>
  <si>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</si>
  <si>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</si>
  <si>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</si>
  <si>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</si>
  <si>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</si>
  <si>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</si>
  <si>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</si>
  <si>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</si>
  <si>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</si>
  <si>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</si>
  <si>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</si>
  <si>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</si>
  <si>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</si>
  <si>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</si>
  <si>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</si>
  <si>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</si>
  <si>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</si>
  <si>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</si>
  <si>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</si>
  <si>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</si>
  <si>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</si>
  <si>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</si>
  <si>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</si>
  <si>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</si>
  <si>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</si>
  <si>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</si>
  <si>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</si>
  <si>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</si>
  <si>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</si>
  <si>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</si>
  <si>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</si>
  <si>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</si>
  <si>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</si>
  <si>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</si>
  <si>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</si>
  <si>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</si>
  <si>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</si>
  <si>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</si>
  <si>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</si>
  <si>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</si>
  <si>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</si>
  <si>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</si>
  <si>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</si>
  <si>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</si>
  <si>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</si>
  <si>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</si>
  <si>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</si>
  <si>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</si>
  <si>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</si>
  <si>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</si>
  <si>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</si>
  <si>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</si>
  <si>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</si>
  <si>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</si>
  <si>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</si>
  <si>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</si>
  <si>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</si>
  <si>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</si>
  <si>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</si>
  <si>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</si>
  <si>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</si>
  <si>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</si>
  <si>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</si>
  <si>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</si>
  <si>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</si>
  <si>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</si>
  <si>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</si>
  <si>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</si>
  <si>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</si>
  <si>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</si>
  <si>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</si>
  <si>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</si>
  <si>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</si>
  <si>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</si>
  <si>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</si>
  <si>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</si>
  <si>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</si>
  <si>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</si>
  <si>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</si>
  <si>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</si>
  <si>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</si>
  <si>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</si>
  <si>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</si>
  <si>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</si>
  <si>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</si>
  <si>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</si>
  <si>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</si>
  <si>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</si>
  <si>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</si>
  <si>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</si>
  <si>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</si>
  <si>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</si>
  <si>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</si>
  <si>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</si>
  <si>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</si>
  <si>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</si>
  <si>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</si>
  <si>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</si>
  <si>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</si>
  <si>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</si>
  <si>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</si>
  <si>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</si>
  <si>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</si>
  <si>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</si>
  <si>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</si>
  <si>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</si>
  <si>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</si>
  <si>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</si>
  <si>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</si>
  <si>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</si>
  <si>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</si>
  <si>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</si>
  <si>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</si>
  <si>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</si>
  <si>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</si>
  <si>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</si>
  <si>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</si>
  <si>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</si>
  <si>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</si>
  <si>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</si>
  <si>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</si>
  <si>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</si>
  <si>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</si>
  <si>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</si>
  <si>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</si>
  <si>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</si>
  <si>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</si>
  <si>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</si>
  <si>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</si>
  <si>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</si>
  <si>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</si>
  <si>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</si>
  <si>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</si>
  <si>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</si>
  <si>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</si>
  <si>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</si>
  <si>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</si>
  <si>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</si>
  <si>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</si>
  <si>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</si>
  <si>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</si>
  <si>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</si>
  <si>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</si>
  <si>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</si>
  <si>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</si>
  <si>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</si>
  <si>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</si>
  <si>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</si>
  <si>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</si>
  <si>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</si>
  <si>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</si>
  <si>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</si>
  <si>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</si>
  <si>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</si>
  <si>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</si>
  <si>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</si>
  <si>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</si>
  <si>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</si>
  <si>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</si>
  <si>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</si>
  <si>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</si>
  <si>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</si>
  <si>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</si>
  <si>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</si>
  <si>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</si>
  <si>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</si>
  <si>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</si>
  <si>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</si>
  <si>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</si>
  <si>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</si>
  <si>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</si>
  <si>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</si>
  <si>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</si>
  <si>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</si>
  <si>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</si>
  <si>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</si>
  <si>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</si>
  <si>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</si>
  <si>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</si>
  <si>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</si>
  <si>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</si>
  <si>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</si>
  <si>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</si>
  <si>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</si>
  <si>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</si>
  <si>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</si>
  <si>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</si>
  <si>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</si>
  <si>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</si>
  <si>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</si>
  <si>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</si>
  <si>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</si>
  <si>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</si>
  <si>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</si>
  <si>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</si>
  <si>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</si>
  <si>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</si>
  <si>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</si>
  <si>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</si>
  <si>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</si>
  <si>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</si>
  <si>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</si>
  <si>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</si>
  <si>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</si>
  <si>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</si>
  <si>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</si>
  <si>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</si>
  <si>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</si>
  <si>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</si>
  <si>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</si>
  <si>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</si>
  <si>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</si>
  <si>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</si>
  <si>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</si>
  <si>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</si>
  <si>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</si>
  <si>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</si>
  <si>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</si>
  <si>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</si>
  <si>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</si>
  <si>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</si>
  <si>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</si>
  <si>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</si>
  <si>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</si>
  <si>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</si>
  <si>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</si>
  <si>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</si>
  <si>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</si>
  <si>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</si>
  <si>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</si>
  <si>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</si>
  <si>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</si>
  <si>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</si>
  <si>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</si>
  <si>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</si>
  <si>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</si>
  <si>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</si>
  <si>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</si>
  <si>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</si>
  <si>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</si>
  <si>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</si>
  <si>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</si>
  <si>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</si>
  <si>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</si>
  <si>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</si>
  <si>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</si>
  <si>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</si>
  <si>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</si>
  <si>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</si>
  <si>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</si>
  <si>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</si>
  <si>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</si>
  <si>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</si>
  <si>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</si>
  <si>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</si>
  <si>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</si>
  <si>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</si>
  <si>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</si>
  <si>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</si>
  <si>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</si>
  <si>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</si>
  <si>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</si>
  <si>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</si>
  <si>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</si>
  <si>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</si>
  <si>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</si>
  <si>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</si>
  <si>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</si>
  <si>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</si>
  <si>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</si>
  <si>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</si>
  <si>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</si>
  <si>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</si>
  <si>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</si>
  <si>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</si>
  <si>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</si>
  <si>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</si>
  <si>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</si>
  <si>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</si>
  <si>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</si>
  <si>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</si>
  <si>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</si>
  <si>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</si>
  <si>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</si>
  <si>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</si>
  <si>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</si>
  <si>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</si>
  <si>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</si>
  <si>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</si>
  <si>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</si>
  <si>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</si>
  <si>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</si>
  <si>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</si>
  <si>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</si>
  <si>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</si>
  <si>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</si>
  <si>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</si>
  <si>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</si>
  <si>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</si>
  <si>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</si>
  <si>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</si>
  <si>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</si>
  <si>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</si>
  <si>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</si>
  <si>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</si>
  <si>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</si>
  <si>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</si>
  <si>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</si>
  <si>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</si>
  <si>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</si>
  <si>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</si>
  <si>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</si>
  <si>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</si>
  <si>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</si>
  <si>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</si>
  <si>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</si>
  <si>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</si>
  <si>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</si>
  <si>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</si>
  <si>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</si>
  <si>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</si>
  <si>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</si>
  <si>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</si>
  <si>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</si>
  <si>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</si>
  <si>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</si>
  <si>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</si>
  <si>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</si>
  <si>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</si>
  <si>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</si>
  <si>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</si>
  <si>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</si>
  <si>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</si>
  <si>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</si>
  <si>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</si>
  <si>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</si>
  <si>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</si>
  <si>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</si>
  <si>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</si>
  <si>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</si>
  <si>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</si>
  <si>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</si>
  <si>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</si>
  <si>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</si>
  <si>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</si>
  <si>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</si>
  <si>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</si>
  <si>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</si>
  <si>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</si>
  <si>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</si>
  <si>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</si>
  <si>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</si>
  <si>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</si>
  <si>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</si>
  <si>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</si>
  <si>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</si>
  <si>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</si>
  <si>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</si>
  <si>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</si>
  <si>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</si>
  <si>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</si>
  <si>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</si>
  <si>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</si>
  <si>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</si>
  <si>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</si>
  <si>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</si>
  <si>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</si>
  <si>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</si>
  <si>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</si>
  <si>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</si>
  <si>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</si>
  <si>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</si>
  <si>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</si>
  <si>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</si>
  <si>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</si>
  <si>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</si>
  <si>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</si>
  <si>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</si>
  <si>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</si>
  <si>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</si>
  <si>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</si>
  <si>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</si>
  <si>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</si>
  <si>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</si>
  <si>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</si>
  <si>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</si>
  <si>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</si>
  <si>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</si>
  <si>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</si>
  <si>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</si>
  <si>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</si>
  <si>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</si>
  <si>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</si>
  <si>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</si>
  <si>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</si>
  <si>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</si>
  <si>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</si>
  <si>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</si>
  <si>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</si>
  <si>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</si>
  <si>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</si>
  <si>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</si>
  <si>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</si>
  <si>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</si>
  <si>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</si>
  <si>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</si>
  <si>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</si>
  <si>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</si>
  <si>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</si>
  <si>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</si>
  <si>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</si>
  <si>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</si>
  <si>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</si>
  <si>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</si>
  <si>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</si>
  <si>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</si>
  <si>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</si>
  <si>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</si>
  <si>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</si>
  <si>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</si>
  <si>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</si>
  <si>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</si>
  <si>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</si>
  <si>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</si>
  <si>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</si>
  <si>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</si>
  <si>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</si>
  <si>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</si>
  <si>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</si>
  <si>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</si>
  <si>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</si>
  <si>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</si>
  <si>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</si>
  <si>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</si>
  <si>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</si>
  <si>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</si>
  <si>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</si>
  <si>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</si>
  <si>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</si>
  <si>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</si>
  <si>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</si>
  <si>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</si>
  <si>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</si>
  <si>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</si>
  <si>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</si>
  <si>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</si>
  <si>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</si>
  <si>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</si>
  <si>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</si>
  <si>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</si>
  <si>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</si>
  <si>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</si>
  <si>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</si>
  <si>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</si>
  <si>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</si>
  <si>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</si>
  <si>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</si>
  <si>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</si>
  <si>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</si>
  <si>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</si>
  <si>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</si>
  <si>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</si>
  <si>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</si>
  <si>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</si>
  <si>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</si>
  <si>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</si>
  <si>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</si>
  <si>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</si>
  <si>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</si>
  <si>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</si>
  <si>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</si>
  <si>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</si>
  <si>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</si>
  <si>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</si>
  <si>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</si>
  <si>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</si>
  <si>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</si>
  <si>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</si>
  <si>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</si>
  <si>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</si>
  <si>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</si>
  <si>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</si>
  <si>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</si>
  <si>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</si>
  <si>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</si>
  <si>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</si>
  <si>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</si>
  <si>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</si>
  <si>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</si>
  <si>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</si>
  <si>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</si>
  <si>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</si>
  <si>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</si>
  <si>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</si>
  <si>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</si>
  <si>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</si>
  <si>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</si>
  <si>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</si>
  <si>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</si>
  <si>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</si>
  <si>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</si>
  <si>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</si>
  <si>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</si>
  <si>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</si>
  <si>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</si>
  <si>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</si>
  <si>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</si>
  <si>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</si>
  <si>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</si>
  <si>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</si>
  <si>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</si>
  <si>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</si>
  <si>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</si>
  <si>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</si>
  <si>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</si>
  <si>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</si>
  <si>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</si>
  <si>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</si>
  <si>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</si>
  <si>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</si>
  <si>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</si>
  <si>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</si>
  <si>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</si>
  <si>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</si>
  <si>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</si>
  <si>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</si>
  <si>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</si>
  <si>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</si>
  <si>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</si>
  <si>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</si>
  <si>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</si>
  <si>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</si>
  <si>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</si>
  <si>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</si>
  <si>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</si>
  <si>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</si>
  <si>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</si>
  <si>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</si>
  <si>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</si>
  <si>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</si>
  <si>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</si>
  <si>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</si>
  <si>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</si>
  <si>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</si>
  <si>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</si>
  <si>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</si>
  <si>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</si>
  <si>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</si>
  <si>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</si>
  <si>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</si>
  <si>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</si>
  <si>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</si>
  <si>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</si>
  <si>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</si>
  <si>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</si>
  <si>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</si>
  <si>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</si>
  <si>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</si>
  <si>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</si>
  <si>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</si>
  <si>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</si>
  <si>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</si>
  <si>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</si>
  <si>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</si>
  <si>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</si>
  <si>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</si>
  <si>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</si>
  <si>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</si>
  <si>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</si>
  <si>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</si>
  <si>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</si>
  <si>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</si>
  <si>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</si>
  <si>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</si>
  <si>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</si>
  <si>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</si>
  <si>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</si>
  <si>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</si>
  <si>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</si>
  <si>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</si>
  <si>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</si>
  <si>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</si>
  <si>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</si>
  <si>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</si>
  <si>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</si>
  <si>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</si>
  <si>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</si>
  <si>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</si>
  <si>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</si>
  <si>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</si>
  <si>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</si>
  <si>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</si>
  <si>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</si>
  <si>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</si>
  <si>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</si>
  <si>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</si>
  <si>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</si>
  <si>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</si>
  <si>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</si>
  <si>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</si>
  <si>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</si>
  <si>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</si>
  <si>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</si>
  <si>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</si>
  <si>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</si>
  <si>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</si>
  <si>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</si>
  <si>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</si>
  <si>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</si>
  <si>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</si>
  <si>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</si>
  <si>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</si>
  <si>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</si>
  <si>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</si>
  <si>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</si>
  <si>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</si>
  <si>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</si>
  <si>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</si>
  <si>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</si>
  <si>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</si>
  <si>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</si>
  <si>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</si>
  <si>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</si>
  <si>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</si>
  <si>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</si>
  <si>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</si>
  <si>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</si>
  <si>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</si>
  <si>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</si>
  <si>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</si>
  <si>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</si>
  <si>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</si>
  <si>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</si>
  <si>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</si>
  <si>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</si>
  <si>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</si>
  <si>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</si>
  <si>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</si>
  <si>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</si>
  <si>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</si>
  <si>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</si>
  <si>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</si>
  <si>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</si>
  <si>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</si>
  <si>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</si>
  <si>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</si>
  <si>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</si>
  <si>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</si>
  <si>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</si>
  <si>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</si>
  <si>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</si>
  <si>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</si>
  <si>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</si>
  <si>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</si>
  <si>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</si>
  <si>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</si>
  <si>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</si>
  <si>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</si>
  <si>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</si>
  <si>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</si>
  <si>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</si>
  <si>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</si>
  <si>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</si>
  <si>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</si>
  <si>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</si>
  <si>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</si>
  <si>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</si>
  <si>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</si>
  <si>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</si>
  <si>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</si>
  <si>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</si>
  <si>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</si>
  <si>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</si>
  <si>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</si>
  <si>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</si>
  <si>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</si>
  <si>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</si>
  <si>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</si>
  <si>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</si>
  <si>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</si>
  <si>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</si>
  <si>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</si>
  <si>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</si>
  <si>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</si>
  <si>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</si>
  <si>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</si>
  <si>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</si>
  <si>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</si>
  <si>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</si>
  <si>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</si>
  <si>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</si>
  <si>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</si>
  <si>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</si>
  <si>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</si>
  <si>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</si>
  <si>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</si>
  <si>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</si>
  <si>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</si>
  <si>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</si>
  <si>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</si>
  <si>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</si>
  <si>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</si>
  <si>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</si>
  <si>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</si>
  <si>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</si>
  <si>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</si>
  <si>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</si>
  <si>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</si>
  <si>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</si>
  <si>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</si>
  <si>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</si>
  <si>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</si>
  <si>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</si>
  <si>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</si>
  <si>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</si>
  <si>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</si>
  <si>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</si>
  <si>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</si>
  <si>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</si>
  <si>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</si>
  <si>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</si>
  <si>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</si>
  <si>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</si>
  <si>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</si>
  <si>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</si>
  <si>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</si>
  <si>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</si>
  <si>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</si>
  <si>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</si>
  <si>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</si>
  <si>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</si>
  <si>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</si>
  <si>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</si>
  <si>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</si>
  <si>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</si>
  <si>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</si>
  <si>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</si>
  <si>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</si>
  <si>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</si>
  <si>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</si>
  <si>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</si>
  <si>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</si>
  <si>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</si>
  <si>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</si>
  <si>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</si>
  <si>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</si>
  <si>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</si>
  <si>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</si>
  <si>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</si>
  <si>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</si>
  <si>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</si>
  <si>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</si>
  <si>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</si>
  <si>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</si>
  <si>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</si>
  <si>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</si>
  <si>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</si>
  <si>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</si>
  <si>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</si>
  <si>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</si>
  <si>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</si>
  <si>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</si>
  <si>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</si>
  <si>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</si>
  <si>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</si>
  <si>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</si>
  <si>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</si>
  <si>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</si>
  <si>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</si>
  <si>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</si>
  <si>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</si>
  <si>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</si>
  <si>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</si>
  <si>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</si>
  <si>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</si>
  <si>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</si>
  <si>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</si>
  <si>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</si>
  <si>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</si>
  <si>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</si>
  <si>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</si>
  <si>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</si>
  <si>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</si>
  <si>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</si>
  <si>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</si>
  <si>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</si>
  <si>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</si>
  <si>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</si>
  <si>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</si>
  <si>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</si>
  <si>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</si>
  <si>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</si>
  <si>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</si>
  <si>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</si>
  <si>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</si>
  <si>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</si>
  <si>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</si>
  <si>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</si>
  <si>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</si>
  <si>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</si>
  <si>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</si>
  <si>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</si>
  <si>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</si>
  <si>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</si>
  <si>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</si>
  <si>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</si>
  <si>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</si>
  <si>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</si>
  <si>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</si>
  <si>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</si>
  <si>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</si>
  <si>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</si>
  <si>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</si>
  <si>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</si>
  <si>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</si>
  <si>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</si>
  <si>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</si>
  <si>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</si>
  <si>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</si>
  <si>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</si>
  <si>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</si>
  <si>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</si>
  <si>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</si>
  <si>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</si>
  <si>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</si>
  <si>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</si>
  <si>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</si>
  <si>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</si>
  <si>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</si>
  <si>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</si>
  <si>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</si>
  <si>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</si>
  <si>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</si>
  <si>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</si>
  <si>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</si>
  <si>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</si>
  <si>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</si>
  <si>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</si>
  <si>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</si>
  <si>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</si>
  <si>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</si>
  <si>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</si>
  <si>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</si>
  <si>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</si>
  <si>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</si>
  <si>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</si>
  <si>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</si>
  <si>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</si>
  <si>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</si>
  <si>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</si>
  <si>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</si>
  <si>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</si>
  <si>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</si>
  <si>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</si>
  <si>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</si>
  <si>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</si>
  <si>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</si>
  <si>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</si>
  <si>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</si>
  <si>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</si>
  <si>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</si>
  <si>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</si>
  <si>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</si>
  <si>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</si>
  <si>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</si>
  <si>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</si>
  <si>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</si>
  <si>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</si>
  <si>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</si>
  <si>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</si>
  <si>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</si>
  <si>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</si>
  <si>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</si>
  <si>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</si>
  <si>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</si>
  <si>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</si>
  <si>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</si>
  <si>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</si>
  <si>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</si>
  <si>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</si>
  <si>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</si>
  <si>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</si>
  <si>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</si>
  <si>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</si>
  <si>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</si>
  <si>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</si>
  <si>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</si>
  <si>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</si>
  <si>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</si>
  <si>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</si>
  <si>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</si>
  <si>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</si>
  <si>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</si>
  <si>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</si>
  <si>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</si>
  <si>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</si>
  <si>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</si>
  <si>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</si>
  <si>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</si>
  <si>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</si>
  <si>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</si>
  <si>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</si>
  <si>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</si>
  <si>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</si>
  <si>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</si>
  <si>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</si>
  <si>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</si>
  <si>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</si>
  <si>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</si>
  <si>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</si>
  <si>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</si>
  <si>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</si>
  <si>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</si>
  <si>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</si>
  <si>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</si>
  <si>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</si>
  <si>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</si>
  <si>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</si>
  <si>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</si>
  <si>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</si>
  <si>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</si>
  <si>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</si>
  <si>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</si>
  <si>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</si>
  <si>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</si>
  <si>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</si>
  <si>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</si>
  <si>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</si>
  <si>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</si>
  <si>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</si>
  <si>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</si>
  <si>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</si>
  <si>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</si>
  <si>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</si>
  <si>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</si>
  <si>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</si>
  <si>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</si>
  <si>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</si>
  <si>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</si>
  <si>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</si>
  <si>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</si>
  <si>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</si>
  <si>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</si>
  <si>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</si>
  <si>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</si>
  <si>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</si>
  <si>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</si>
  <si>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</si>
  <si>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</si>
  <si>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</si>
  <si>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</si>
  <si>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</si>
  <si>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</si>
  <si>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</si>
  <si>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</si>
  <si>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</si>
  <si>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</si>
  <si>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</si>
  <si>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</si>
  <si>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</si>
  <si>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</si>
  <si>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</si>
  <si>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</si>
  <si>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</si>
  <si>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</si>
  <si>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</si>
  <si>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</si>
  <si>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</si>
  <si>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</si>
  <si>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</si>
  <si>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</si>
  <si>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</si>
  <si>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</si>
  <si>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</si>
  <si>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</si>
  <si>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</si>
  <si>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</si>
  <si>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</si>
  <si>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</si>
  <si>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</si>
  <si>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</si>
  <si>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</si>
  <si>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</si>
  <si>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</si>
  <si>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</si>
  <si>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</si>
  <si>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</si>
  <si>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</si>
  <si>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</si>
  <si>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</si>
  <si>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</si>
  <si>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</si>
  <si>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</si>
  <si>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</si>
  <si>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</si>
  <si>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</si>
  <si>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</si>
  <si>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</si>
  <si>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</si>
  <si>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</si>
  <si>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</si>
  <si>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</si>
  <si>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</si>
  <si>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</si>
  <si>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</si>
  <si>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</si>
  <si>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</si>
  <si>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</si>
  <si>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</si>
  <si>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</si>
  <si>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</si>
  <si>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</si>
  <si>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</si>
  <si>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</si>
  <si>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</si>
  <si>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</si>
  <si>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</si>
  <si>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</si>
  <si>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</si>
  <si>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</si>
  <si>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</si>
  <si>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</si>
  <si>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</si>
  <si>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</si>
  <si>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</si>
  <si>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</si>
  <si>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</si>
  <si>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</si>
  <si>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</si>
  <si>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</si>
  <si>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</si>
  <si>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</si>
  <si>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</si>
  <si>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</si>
  <si>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</si>
  <si>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</si>
  <si>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</si>
  <si>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</si>
  <si>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</si>
  <si>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</si>
  <si>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</si>
  <si>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</si>
  <si>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</si>
  <si>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</si>
  <si>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</si>
  <si>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</si>
  <si>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</si>
  <si>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</si>
  <si>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</si>
  <si>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</si>
  <si>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</si>
  <si>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</si>
  <si>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</si>
  <si>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</si>
  <si>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</si>
  <si>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</si>
  <si>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</si>
  <si>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</si>
  <si>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</si>
  <si>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</si>
  <si>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</si>
  <si>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</si>
  <si>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</si>
  <si>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</si>
  <si>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</si>
  <si>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</si>
  <si>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</si>
  <si>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</si>
  <si>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</si>
  <si>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</si>
  <si>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</si>
  <si>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</si>
  <si>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</si>
  <si>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</si>
  <si>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</si>
  <si>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</si>
  <si>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</si>
  <si>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</si>
  <si>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</si>
  <si>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</si>
  <si>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</si>
  <si>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</si>
  <si>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</si>
  <si>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</si>
  <si>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</si>
  <si>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</si>
  <si>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</si>
  <si>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</si>
  <si>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</si>
  <si>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</si>
  <si>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</si>
  <si>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</si>
  <si>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</si>
  <si>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</si>
  <si>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</si>
  <si>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</si>
  <si>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</si>
  <si>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</si>
  <si>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</si>
  <si>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</si>
  <si>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</si>
  <si>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</si>
  <si>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</si>
  <si>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</si>
  <si>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</si>
  <si>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</si>
  <si>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</si>
  <si>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</si>
  <si>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</si>
  <si>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</si>
  <si>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</si>
  <si>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</si>
  <si>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</si>
  <si>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</si>
  <si>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</si>
  <si>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</si>
  <si>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</si>
  <si>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</si>
  <si>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</si>
  <si>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</si>
  <si>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</si>
  <si>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</si>
  <si>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</si>
  <si>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</si>
  <si>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</si>
  <si>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</si>
  <si>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</si>
  <si>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</si>
  <si>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</si>
  <si>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</si>
  <si>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</si>
  <si>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</si>
  <si>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</si>
  <si>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</si>
  <si>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</si>
  <si>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</si>
  <si>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</si>
  <si>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</si>
  <si>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</si>
  <si>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</si>
  <si>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</si>
  <si>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</si>
  <si>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</si>
  <si>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</si>
  <si>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</si>
  <si>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</si>
  <si>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</si>
  <si>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</si>
  <si>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</si>
  <si>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</si>
  <si>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</si>
  <si>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</si>
  <si>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</si>
  <si>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</si>
  <si>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</si>
  <si>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</si>
  <si>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</si>
  <si>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</si>
  <si>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</si>
  <si>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</si>
  <si>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</si>
  <si>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</si>
  <si>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</si>
  <si>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</si>
  <si>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</si>
  <si>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</si>
  <si>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</si>
  <si>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</si>
  <si>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</si>
  <si>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</si>
  <si>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</si>
  <si>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</si>
  <si>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</si>
  <si>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</si>
  <si>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</si>
  <si>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</si>
  <si>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</si>
  <si>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</si>
  <si>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</si>
  <si>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</si>
  <si>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</si>
  <si>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</si>
  <si>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</si>
  <si>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</si>
  <si>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</si>
  <si>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</si>
  <si>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</si>
  <si>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</si>
  <si>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</si>
  <si>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</si>
  <si>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</si>
  <si>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</si>
  <si>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</si>
  <si>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</si>
  <si>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</si>
  <si>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</si>
  <si>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</si>
  <si>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</si>
  <si>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</si>
  <si>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</si>
  <si>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</si>
  <si>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</si>
  <si>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</si>
  <si>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</si>
  <si>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</si>
  <si>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</si>
  <si>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</si>
  <si>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</si>
  <si>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</si>
  <si>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</si>
  <si>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</si>
  <si>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</si>
  <si>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</si>
  <si>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</si>
  <si>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</si>
  <si>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</si>
  <si>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</si>
  <si>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</si>
  <si>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</si>
  <si>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</si>
  <si>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</si>
  <si>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</si>
  <si>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</si>
  <si>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</si>
  <si>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</si>
  <si>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</si>
  <si>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</si>
  <si>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</si>
  <si>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</si>
  <si>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</si>
  <si>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</si>
  <si>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</si>
  <si>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</si>
  <si>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</si>
  <si>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</si>
  <si>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</si>
  <si>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</si>
  <si>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</si>
  <si>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</si>
  <si>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</si>
  <si>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</si>
  <si>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</si>
  <si>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</si>
  <si>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</si>
  <si>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</si>
  <si>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</si>
  <si>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</si>
  <si>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</si>
  <si>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</si>
  <si>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</si>
  <si>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</si>
  <si>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</si>
  <si>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</si>
  <si>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</si>
  <si>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</si>
  <si>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</si>
  <si>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</si>
  <si>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</si>
  <si>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</si>
  <si>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</si>
  <si>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</si>
  <si>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</si>
  <si>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</si>
  <si>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</si>
  <si>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</si>
  <si>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</si>
  <si>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</si>
  <si>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</si>
  <si>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</si>
  <si>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</si>
  <si>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</si>
  <si>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</si>
  <si>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</si>
  <si>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</si>
  <si>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</si>
  <si>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</si>
  <si>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</si>
  <si>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</si>
  <si>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</si>
  <si>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</si>
  <si>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</si>
  <si>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</si>
  <si>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</si>
  <si>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</si>
  <si>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</si>
  <si>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</si>
  <si>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</si>
  <si>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</si>
  <si>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</si>
  <si>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</si>
  <si>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</si>
  <si>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</si>
  <si>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</si>
  <si>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</si>
  <si>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</si>
  <si>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</si>
  <si>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</si>
  <si>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</si>
  <si>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</si>
  <si>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</si>
  <si>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</si>
  <si>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</si>
  <si>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</si>
  <si>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</si>
  <si>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</si>
  <si>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</si>
  <si>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</si>
  <si>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</si>
  <si>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</si>
  <si>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</si>
  <si>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</si>
  <si>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</si>
  <si>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</si>
  <si>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</si>
  <si>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</si>
  <si>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</si>
  <si>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</si>
  <si>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</si>
  <si>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</si>
  <si>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</si>
  <si>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</si>
  <si>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</si>
  <si>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</si>
  <si>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</si>
  <si>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</si>
  <si>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</si>
  <si>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</si>
  <si>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</si>
  <si>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</si>
  <si>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</si>
  <si>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</si>
  <si>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</si>
  <si>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</si>
  <si>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</si>
  <si>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</si>
  <si>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</si>
  <si>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</si>
  <si>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</si>
  <si>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</si>
  <si>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</si>
  <si>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</si>
  <si>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</si>
  <si>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</si>
  <si>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</si>
  <si>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</si>
  <si>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</si>
  <si>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</si>
  <si>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</si>
  <si>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</si>
  <si>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</si>
  <si>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</si>
  <si>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</si>
  <si>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</si>
  <si>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</si>
  <si>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</si>
  <si>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</si>
  <si>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</si>
  <si>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</si>
  <si>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</si>
  <si>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</si>
  <si>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</si>
  <si>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</si>
  <si>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</si>
  <si>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</si>
  <si>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</si>
  <si>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</si>
  <si>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</si>
  <si>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</si>
  <si>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</si>
  <si>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</si>
  <si>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</si>
  <si>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</si>
  <si>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</si>
  <si>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</si>
  <si>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</si>
  <si>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</si>
  <si>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</si>
  <si>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</si>
  <si>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</si>
  <si>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</si>
  <si>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</si>
  <si>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</si>
  <si>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</si>
  <si>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</si>
  <si>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</si>
  <si>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</si>
  <si>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</si>
  <si>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</si>
  <si>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</si>
  <si>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</si>
  <si>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</si>
  <si>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</si>
  <si>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</si>
  <si>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</si>
  <si>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</si>
  <si>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</si>
  <si>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</si>
  <si>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</si>
  <si>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</si>
  <si>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</si>
  <si>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</si>
  <si>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</si>
  <si>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</si>
  <si>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</si>
  <si>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</si>
  <si>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</si>
  <si>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</si>
  <si>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</si>
  <si>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</si>
  <si>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</si>
  <si>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</si>
  <si>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</si>
  <si>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</si>
  <si>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</si>
  <si>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</si>
  <si>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</si>
  <si>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</si>
  <si>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</si>
  <si>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</si>
  <si>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</si>
  <si>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</si>
  <si>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</si>
  <si>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</si>
  <si>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</si>
  <si>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</si>
  <si>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</si>
  <si>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</si>
  <si>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</si>
  <si>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</si>
  <si>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</si>
  <si>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</si>
  <si>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</si>
  <si>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</si>
  <si>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</si>
  <si>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</si>
  <si>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</si>
  <si>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</si>
  <si>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</si>
  <si>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</si>
  <si>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</si>
  <si>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</si>
  <si>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</si>
  <si>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</si>
  <si>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</si>
  <si>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</si>
  <si>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</si>
  <si>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</si>
  <si>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</si>
  <si>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</si>
  <si>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</si>
  <si>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</si>
  <si>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</si>
  <si>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</si>
  <si>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</si>
  <si>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</si>
  <si>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</si>
  <si>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</si>
  <si>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</si>
  <si>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</si>
  <si>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</si>
  <si>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</si>
  <si>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</si>
  <si>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</si>
  <si>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</si>
  <si>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</si>
  <si>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</si>
  <si>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</si>
  <si>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</si>
  <si>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</si>
  <si>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</si>
  <si>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</si>
  <si>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</si>
  <si>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</si>
  <si>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</si>
  <si>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</si>
  <si>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</si>
  <si>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</si>
  <si>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</si>
  <si>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</si>
  <si>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</si>
  <si>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</si>
  <si>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</si>
  <si>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</si>
  <si>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</si>
  <si>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</si>
  <si>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</si>
  <si>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</si>
  <si>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</si>
  <si>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</si>
  <si>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</si>
  <si>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</si>
  <si>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</si>
  <si>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</si>
  <si>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</si>
  <si>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</si>
  <si>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</si>
  <si>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</si>
  <si>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</si>
  <si>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</si>
  <si>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</si>
  <si>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</si>
  <si>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</si>
  <si>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</si>
  <si>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</si>
  <si>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</si>
  <si>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</si>
  <si>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</si>
  <si>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</si>
  <si>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</si>
  <si>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</si>
  <si>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</si>
  <si>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</si>
  <si>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</si>
  <si>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</si>
  <si>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</si>
  <si>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</si>
  <si>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</si>
  <si>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</si>
  <si>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</si>
  <si>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</si>
  <si>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</si>
  <si>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</si>
  <si>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</si>
  <si>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</si>
  <si>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</si>
  <si>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</si>
  <si>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</si>
  <si>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</si>
  <si>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</si>
  <si>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</si>
  <si>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</si>
  <si>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</si>
  <si>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</si>
  <si>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</si>
  <si>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</si>
  <si>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</si>
  <si>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</si>
  <si>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</si>
  <si>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</si>
  <si>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</si>
  <si>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</si>
  <si>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</si>
  <si>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</si>
  <si>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</si>
  <si>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</si>
  <si>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</si>
  <si>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</si>
  <si>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</si>
  <si>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</si>
  <si>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</si>
  <si>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</si>
  <si>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</si>
  <si>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</si>
  <si>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</si>
  <si>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</si>
  <si>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</si>
  <si>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</si>
  <si>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</si>
  <si>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</si>
  <si>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</si>
  <si>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</si>
  <si>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</si>
  <si>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</si>
  <si>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</si>
  <si>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</si>
  <si>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</si>
  <si>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</si>
  <si>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</si>
  <si>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</si>
  <si>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</si>
  <si>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</si>
  <si>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</si>
  <si>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</si>
  <si>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</si>
  <si>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</si>
  <si>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</si>
  <si>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</si>
  <si>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</si>
  <si>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</si>
  <si>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</si>
  <si>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</si>
  <si>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</si>
  <si>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</si>
  <si>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</si>
  <si>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</si>
  <si>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</si>
  <si>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</si>
  <si>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</si>
  <si>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</si>
  <si>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</si>
  <si>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</si>
  <si>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</si>
  <si>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</si>
  <si>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</si>
  <si>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</si>
  <si>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</si>
  <si>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</si>
  <si>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</si>
  <si>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</si>
  <si>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</si>
  <si>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</si>
  <si>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</si>
  <si>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</si>
  <si>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</si>
  <si>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</si>
  <si>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</si>
  <si>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</si>
  <si>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</si>
  <si>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</si>
  <si>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</si>
  <si>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</si>
  <si>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</si>
  <si>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</si>
  <si>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</si>
  <si>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</si>
  <si>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</si>
  <si>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</si>
  <si>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</si>
  <si>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</si>
  <si>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</si>
  <si>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</si>
  <si>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</si>
  <si>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</si>
  <si>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</si>
  <si>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</si>
  <si>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</si>
  <si>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</si>
  <si>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</si>
  <si>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</si>
  <si>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</si>
  <si>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</si>
  <si>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</si>
  <si>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</si>
  <si>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</si>
  <si>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</si>
  <si>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</si>
  <si>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</si>
  <si>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</si>
  <si>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</si>
  <si>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</si>
  <si>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</si>
  <si>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</si>
  <si>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</si>
  <si>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</si>
  <si>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</si>
  <si>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</si>
  <si>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</si>
  <si>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</si>
  <si>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</si>
  <si>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</si>
  <si>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</si>
  <si>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</si>
  <si>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</si>
  <si>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</si>
  <si>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</si>
  <si>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</si>
  <si>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</si>
  <si>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</si>
  <si>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</si>
  <si>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</si>
  <si>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</si>
  <si>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</si>
  <si>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</si>
  <si>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</si>
  <si>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</si>
  <si>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</si>
  <si>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</si>
  <si>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</si>
  <si>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</si>
  <si>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</si>
  <si>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</si>
  <si>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</si>
  <si>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</si>
  <si>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</si>
  <si>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</si>
  <si>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</si>
  <si>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</si>
  <si>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</si>
  <si>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</si>
  <si>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</si>
  <si>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</si>
  <si>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</si>
  <si>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</si>
  <si>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</si>
  <si>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</si>
  <si>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</si>
  <si>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</si>
  <si>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</si>
  <si>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</si>
  <si>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</si>
  <si>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</si>
  <si>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</si>
  <si>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</si>
  <si>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</si>
  <si>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</si>
  <si>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</si>
  <si>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</si>
  <si>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</si>
  <si>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</si>
  <si>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</si>
  <si>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</si>
  <si>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</si>
  <si>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</si>
  <si>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</si>
  <si>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</si>
  <si>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</si>
  <si>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</si>
  <si>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</si>
  <si>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</si>
  <si>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</si>
  <si>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</si>
  <si>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</si>
  <si>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</si>
  <si>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</si>
  <si>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</si>
  <si>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</si>
  <si>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</si>
  <si>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</si>
  <si>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</si>
  <si>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</si>
  <si>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</si>
  <si>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</si>
  <si>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</si>
  <si>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</si>
  <si>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</si>
  <si>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</si>
  <si>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</si>
  <si>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</si>
  <si>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</si>
  <si>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</si>
  <si>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</si>
  <si>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</si>
  <si>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</si>
  <si>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</si>
  <si>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</si>
  <si>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</si>
  <si>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</si>
  <si>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</si>
  <si>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</si>
  <si>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</si>
  <si>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</si>
  <si>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</si>
  <si>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</si>
  <si>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</si>
  <si>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</si>
  <si>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</si>
  <si>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</si>
  <si>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</si>
  <si>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</si>
  <si>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</si>
  <si>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</si>
  <si>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</si>
  <si>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</si>
  <si>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</si>
  <si>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</si>
  <si>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</si>
  <si>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</si>
  <si>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</si>
  <si>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</si>
  <si>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</si>
  <si>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</si>
  <si>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</si>
  <si>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</si>
  <si>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</si>
  <si>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</si>
  <si>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</si>
  <si>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</si>
  <si>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</si>
  <si>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</si>
  <si>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</si>
  <si>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</si>
  <si>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</si>
  <si>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</si>
  <si>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</si>
  <si>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</si>
  <si>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</si>
  <si>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</si>
  <si>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</si>
  <si>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</si>
  <si>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</si>
  <si>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</si>
  <si>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</si>
  <si>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</si>
  <si>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</si>
  <si>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</si>
  <si>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</si>
  <si>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</si>
  <si>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</si>
  <si>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</si>
  <si>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</si>
  <si>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</si>
  <si>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</si>
  <si>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</si>
  <si>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</si>
  <si>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</si>
  <si>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</si>
  <si>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</si>
  <si>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</si>
  <si>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</si>
  <si>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</si>
  <si>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</si>
  <si>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</si>
  <si>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</si>
  <si>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</si>
  <si>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</si>
  <si>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</si>
  <si>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</si>
  <si>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</si>
  <si>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</si>
  <si>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</si>
  <si>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</si>
  <si>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</si>
  <si>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</si>
  <si>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</si>
  <si>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</si>
  <si>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</si>
  <si>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</si>
  <si>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</si>
  <si>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</si>
  <si>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</si>
  <si>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</si>
  <si>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</si>
  <si>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</si>
  <si>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</si>
  <si>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</si>
  <si>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</si>
  <si>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</si>
  <si>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</si>
  <si>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</si>
  <si>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</si>
  <si>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</si>
  <si>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</si>
  <si>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</si>
  <si>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</si>
  <si>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</si>
  <si>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</si>
  <si>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</si>
  <si>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</si>
  <si>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</si>
  <si>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</si>
  <si>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</si>
  <si>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</si>
  <si>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</si>
  <si>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</si>
  <si>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</si>
  <si>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</si>
  <si>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</si>
  <si>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</si>
  <si>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</si>
  <si>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</si>
  <si>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</si>
  <si>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</si>
  <si>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</si>
  <si>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</si>
  <si>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</si>
  <si>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</si>
  <si>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</si>
  <si>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</si>
  <si>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</si>
  <si>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</si>
  <si>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</si>
  <si>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</si>
  <si>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</si>
  <si>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</si>
  <si>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</si>
  <si>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</si>
  <si>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</si>
  <si>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</si>
  <si>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</si>
  <si>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</si>
  <si>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</si>
  <si>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</si>
  <si>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</si>
  <si>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</si>
  <si>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</si>
  <si>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</si>
  <si>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</si>
  <si>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</si>
  <si>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</si>
  <si>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</si>
  <si>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</si>
  <si>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</si>
  <si>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</si>
  <si>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</si>
  <si>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</si>
  <si>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</si>
  <si>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</si>
  <si>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</si>
  <si>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</si>
  <si>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</si>
  <si>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</si>
  <si>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</si>
  <si>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</si>
  <si>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</si>
  <si>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</si>
  <si>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</si>
  <si>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</si>
  <si>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</si>
  <si>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</si>
  <si>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</si>
  <si>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</si>
  <si>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</si>
  <si>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</si>
  <si>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</si>
  <si>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</si>
  <si>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</si>
  <si>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</si>
  <si>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</si>
  <si>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</si>
  <si>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</si>
  <si>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</si>
  <si>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</si>
  <si>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</si>
  <si>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</si>
  <si>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</si>
  <si>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</si>
  <si>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</si>
  <si>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</si>
  <si>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</si>
  <si>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</si>
  <si>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</si>
  <si>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</si>
  <si>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</si>
  <si>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</si>
  <si>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</si>
  <si>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</si>
  <si>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</si>
  <si>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</si>
  <si>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</si>
  <si>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</si>
  <si>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</si>
  <si>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</si>
  <si>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</si>
  <si>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</si>
  <si>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</si>
  <si>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</si>
  <si>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</si>
  <si>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</si>
  <si>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</si>
  <si>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</si>
  <si>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</si>
  <si>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</si>
  <si>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</si>
  <si>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</si>
  <si>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</si>
  <si>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</si>
  <si>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</si>
  <si>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</si>
  <si>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</si>
  <si>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</si>
  <si>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</si>
  <si>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</si>
  <si>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</si>
  <si>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</si>
  <si>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</si>
  <si>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</si>
  <si>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</si>
  <si>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</si>
  <si>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</si>
  <si>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</si>
  <si>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</si>
  <si>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</si>
  <si>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</si>
  <si>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</si>
  <si>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</si>
  <si>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</si>
  <si>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</si>
  <si>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</si>
  <si>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</si>
  <si>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</si>
  <si>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</si>
  <si>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</si>
  <si>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</si>
  <si>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</si>
  <si>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</si>
  <si>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</si>
  <si>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</si>
  <si>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</si>
  <si>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</si>
  <si>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</si>
  <si>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</si>
  <si>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</si>
  <si>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</si>
  <si>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</si>
  <si>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</si>
  <si>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</si>
  <si>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</si>
  <si>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</si>
  <si>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</si>
  <si>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</si>
  <si>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</si>
  <si>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</si>
  <si>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</si>
  <si>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</si>
  <si>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</si>
  <si>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</si>
  <si>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</si>
  <si>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</si>
  <si>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</si>
  <si>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</si>
  <si>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</si>
  <si>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</si>
  <si>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</si>
  <si>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</si>
  <si>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</si>
  <si>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</si>
  <si>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</si>
  <si>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</si>
  <si>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</si>
  <si>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</si>
  <si>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</si>
  <si>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</si>
  <si>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</si>
  <si>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</si>
  <si>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</si>
  <si>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</si>
  <si>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</si>
  <si>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</si>
  <si>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</si>
  <si>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</si>
  <si>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</si>
  <si>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</si>
  <si>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</si>
  <si>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</si>
  <si>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</si>
  <si>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</si>
  <si>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</si>
  <si>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</si>
  <si>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</si>
  <si>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</si>
  <si>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</si>
  <si>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</si>
  <si>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</si>
  <si>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</si>
  <si>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</si>
  <si>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</si>
  <si>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</si>
  <si>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</si>
  <si>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</si>
  <si>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</si>
  <si>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</si>
  <si>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</si>
  <si>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</si>
  <si>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</si>
  <si>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</si>
  <si>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</si>
  <si>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</si>
  <si>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</si>
  <si>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</si>
  <si>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</si>
  <si>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</si>
  <si>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</si>
  <si>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</si>
  <si>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</si>
  <si>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</si>
  <si>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</si>
  <si>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</si>
  <si>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</si>
  <si>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</si>
  <si>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</si>
  <si>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</si>
  <si>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</si>
  <si>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</si>
  <si>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</si>
  <si>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</si>
  <si>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</si>
  <si>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</si>
  <si>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</si>
  <si>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</si>
  <si>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</si>
  <si>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</si>
  <si>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</si>
  <si>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</si>
  <si>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</si>
  <si>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</si>
  <si>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</si>
  <si>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</si>
  <si>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</si>
  <si>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</si>
  <si>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</si>
  <si>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</si>
  <si>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</si>
  <si>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</si>
  <si>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</si>
  <si>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</si>
  <si>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</si>
  <si>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</si>
  <si>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</si>
  <si>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</si>
  <si>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</si>
  <si>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</si>
  <si>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</si>
  <si>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</si>
  <si>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</si>
  <si>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</si>
  <si>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</si>
  <si>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</si>
  <si>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</si>
  <si>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</si>
  <si>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</si>
  <si>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</si>
  <si>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</si>
  <si>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</si>
  <si>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</si>
  <si>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</si>
  <si>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</si>
  <si>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</si>
  <si>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</si>
  <si>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</si>
  <si>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</si>
  <si>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</si>
  <si>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</si>
  <si>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</si>
  <si>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</si>
  <si>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</si>
  <si>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</si>
  <si>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</si>
  <si>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</si>
  <si>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</si>
  <si>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</si>
  <si>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</si>
  <si>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</si>
  <si>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</si>
  <si>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</si>
  <si>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</si>
  <si>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</si>
  <si>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</si>
  <si>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</si>
  <si>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</si>
  <si>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</si>
  <si>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</si>
  <si>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</si>
  <si>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</si>
  <si>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</si>
  <si>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</si>
  <si>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</si>
  <si>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</si>
  <si>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</si>
  <si>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</si>
  <si>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</si>
  <si>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</si>
  <si>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</si>
  <si>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</si>
  <si>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</si>
  <si>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</si>
  <si>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</si>
  <si>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</si>
  <si>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</si>
  <si>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</si>
  <si>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</si>
  <si>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</si>
  <si>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</si>
  <si>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</si>
  <si>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</si>
  <si>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</si>
  <si>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</si>
  <si>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</si>
  <si>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</si>
  <si>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</si>
  <si>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</si>
  <si>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</si>
  <si>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</si>
  <si>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</si>
  <si>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</si>
  <si>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</si>
  <si>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</si>
  <si>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</si>
  <si>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</si>
  <si>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</si>
  <si>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</si>
  <si>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</si>
  <si>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</si>
  <si>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</si>
  <si>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</si>
  <si>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</si>
  <si>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</si>
  <si>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</si>
  <si>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</si>
  <si>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</si>
  <si>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</si>
  <si>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</si>
  <si>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</si>
  <si>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</si>
  <si>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</si>
  <si>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</si>
  <si>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</si>
  <si>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</si>
  <si>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</si>
  <si>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</si>
  <si>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</si>
  <si>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</si>
  <si>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</si>
  <si>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</si>
  <si>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</si>
  <si>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</si>
  <si>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</si>
  <si>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</si>
  <si>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</si>
  <si>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</si>
  <si>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</si>
  <si>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</si>
  <si>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</si>
  <si>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</si>
  <si>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</si>
  <si>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</si>
  <si>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</si>
  <si>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</si>
  <si>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</si>
  <si>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</si>
  <si>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</si>
  <si>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</si>
  <si>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</si>
  <si>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</si>
  <si>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</si>
  <si>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</si>
  <si>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</si>
  <si>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</si>
  <si>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</si>
  <si>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</si>
  <si>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</si>
  <si>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</si>
  <si>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</si>
  <si>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</si>
  <si>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</si>
  <si>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</si>
  <si>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</si>
  <si>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</si>
  <si>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</si>
  <si>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</si>
  <si>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</si>
  <si>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</si>
  <si>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</si>
  <si>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</si>
  <si>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</si>
  <si>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</si>
  <si>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</si>
  <si>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</si>
  <si>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</si>
  <si>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</si>
  <si>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</si>
  <si>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</si>
  <si>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</si>
  <si>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</si>
  <si>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</si>
  <si>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</si>
  <si>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</si>
  <si>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</si>
  <si>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</si>
  <si>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</si>
  <si>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</si>
  <si>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</si>
  <si>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</si>
  <si>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</si>
  <si>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</si>
  <si>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</si>
  <si>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</si>
  <si>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</si>
  <si>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</si>
  <si>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</si>
  <si>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</si>
  <si>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</si>
  <si>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</si>
  <si>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</si>
  <si>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</si>
  <si>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</si>
  <si>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</si>
  <si>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</si>
  <si>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</si>
  <si>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</si>
  <si>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</si>
  <si>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</si>
  <si>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</si>
  <si>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</si>
  <si>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</si>
  <si>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</si>
  <si>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</si>
  <si>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</si>
  <si>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</si>
  <si>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</si>
  <si>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</si>
  <si>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</si>
  <si>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</si>
  <si>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</si>
  <si>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</si>
  <si>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</si>
  <si>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</si>
  <si>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</si>
  <si>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</si>
  <si>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</si>
  <si>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</si>
  <si>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</si>
  <si>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</si>
  <si>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</si>
  <si>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</si>
  <si>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</si>
  <si>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</si>
  <si>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</si>
  <si>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</si>
  <si>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</si>
  <si>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</si>
  <si>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</si>
  <si>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</si>
  <si>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</si>
  <si>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</si>
  <si>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</si>
  <si>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</si>
  <si>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</si>
  <si>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</si>
  <si>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</si>
  <si>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</si>
  <si>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</si>
  <si>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</si>
  <si>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</si>
  <si>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</si>
  <si>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</si>
  <si>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</si>
  <si>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</si>
  <si>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</si>
  <si>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</si>
  <si>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</si>
  <si>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</si>
  <si>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</si>
  <si>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</si>
  <si>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</si>
  <si>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</si>
  <si>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</si>
  <si>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</si>
  <si>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</si>
  <si>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</si>
  <si>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</si>
  <si>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</si>
  <si>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</si>
  <si>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</si>
  <si>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</si>
  <si>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</si>
  <si>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</si>
  <si>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</si>
  <si>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</si>
  <si>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</si>
  <si>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</si>
  <si>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</si>
  <si>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</si>
  <si>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</si>
  <si>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</si>
  <si>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</si>
  <si>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</si>
  <si>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</si>
  <si>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</si>
  <si>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</si>
  <si>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</si>
  <si>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</si>
  <si>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</si>
  <si>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</si>
  <si>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</si>
  <si>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</si>
  <si>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</si>
  <si>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</si>
  <si>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</si>
  <si>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</si>
  <si>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</si>
  <si>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</si>
  <si>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</si>
  <si>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</si>
  <si>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</si>
  <si>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</si>
  <si>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</si>
  <si>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</si>
  <si>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</si>
  <si>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</si>
  <si>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</si>
  <si>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</si>
  <si>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</si>
  <si>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</si>
  <si>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</si>
  <si>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</si>
  <si>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</si>
  <si>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</si>
  <si>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</si>
  <si>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</si>
  <si>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</si>
  <si>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</si>
  <si>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</si>
  <si>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</si>
  <si>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</si>
  <si>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</si>
  <si>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</si>
  <si>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</si>
  <si>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</si>
  <si>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</si>
  <si>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</si>
  <si>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</si>
  <si>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</si>
  <si>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</si>
  <si>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</si>
  <si>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</si>
  <si>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</si>
  <si>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</si>
  <si>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</si>
  <si>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</si>
  <si>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</si>
  <si>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</si>
  <si>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</si>
  <si>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</si>
  <si>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</si>
  <si>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</si>
  <si>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</si>
  <si>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</si>
  <si>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</si>
  <si>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</si>
  <si>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</si>
  <si>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</si>
  <si>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</si>
  <si>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</si>
  <si>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</si>
  <si>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</si>
  <si>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</si>
  <si>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</si>
  <si>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</si>
  <si>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</si>
  <si>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</si>
  <si>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</si>
  <si>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</si>
  <si>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</si>
  <si>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</si>
  <si>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</si>
  <si>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</si>
  <si>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</si>
  <si>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</si>
  <si>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</si>
  <si>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</si>
  <si>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</si>
  <si>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</si>
  <si>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</si>
  <si>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</si>
  <si>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</si>
  <si>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</si>
  <si>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</si>
  <si>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</si>
  <si>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</si>
  <si>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</si>
  <si>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</si>
  <si>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</si>
  <si>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</si>
  <si>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</si>
  <si>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</si>
  <si>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</si>
  <si>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</si>
  <si>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</si>
  <si>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</si>
  <si>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</si>
  <si>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</si>
  <si>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</si>
  <si>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</si>
  <si>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</si>
  <si>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</si>
  <si>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</si>
  <si>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</si>
  <si>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</si>
  <si>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</si>
  <si>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</si>
  <si>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</si>
  <si>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</si>
  <si>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</si>
  <si>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</si>
  <si>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</si>
  <si>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</si>
  <si>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</si>
  <si>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</si>
  <si>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</si>
  <si>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</si>
  <si>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</si>
  <si>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</si>
  <si>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</si>
  <si>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</si>
  <si>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</si>
  <si>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</si>
  <si>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</si>
  <si>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</si>
  <si>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</si>
  <si>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</si>
  <si>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</si>
  <si>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</si>
  <si>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</si>
  <si>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</si>
  <si>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</si>
  <si>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</si>
  <si>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</si>
  <si>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</si>
  <si>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</si>
  <si>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</si>
  <si>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</si>
  <si>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</si>
  <si>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</si>
  <si>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</si>
  <si>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</si>
  <si>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</si>
  <si>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</si>
  <si>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</si>
  <si>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</si>
  <si>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</si>
  <si>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</si>
  <si>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</si>
  <si>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</si>
  <si>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</si>
  <si>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</si>
  <si>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</si>
  <si>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</si>
  <si>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</si>
  <si>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</si>
  <si>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</si>
  <si>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</si>
  <si>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</si>
  <si>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</si>
  <si>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</si>
  <si>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</si>
  <si>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</si>
  <si>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</si>
  <si>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</si>
  <si>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</si>
  <si>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</si>
  <si>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</si>
  <si>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</si>
  <si>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</si>
  <si>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</si>
  <si>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</si>
  <si>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</si>
  <si>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</si>
  <si>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</si>
  <si>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</si>
  <si>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</si>
  <si>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</si>
  <si>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</si>
  <si>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</si>
  <si>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</si>
  <si>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</si>
  <si>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</si>
  <si>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</si>
  <si>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</si>
  <si>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</si>
  <si>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</si>
  <si>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</si>
  <si>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</si>
  <si>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</si>
  <si>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</si>
  <si>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</si>
  <si>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</si>
  <si>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</si>
  <si>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</si>
  <si>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</si>
  <si>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</si>
  <si>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</si>
  <si>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</si>
  <si>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</si>
  <si>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</si>
  <si>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</si>
  <si>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</si>
  <si>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</si>
  <si>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</si>
  <si>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</si>
  <si>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</si>
  <si>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</si>
  <si>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</si>
  <si>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</si>
  <si>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</si>
  <si>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</si>
  <si>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</si>
  <si>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</si>
  <si>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</si>
  <si>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</si>
  <si>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</si>
  <si>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</si>
  <si>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</si>
  <si>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</si>
  <si>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</si>
  <si>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</si>
  <si>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</si>
  <si>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</si>
  <si>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</si>
  <si>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</si>
  <si>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</si>
  <si>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</si>
  <si>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</si>
  <si>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</si>
  <si>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</si>
  <si>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</si>
  <si>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</si>
  <si>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</si>
  <si>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</si>
  <si>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</si>
  <si>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</si>
  <si>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</si>
  <si>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</si>
  <si>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</si>
  <si>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</si>
  <si>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</si>
  <si>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</si>
  <si>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</si>
  <si>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</si>
  <si>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</si>
  <si>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</si>
  <si>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</si>
  <si>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</si>
  <si>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</si>
  <si>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</si>
  <si>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</si>
  <si>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</si>
  <si>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</si>
  <si>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</si>
  <si>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</si>
  <si>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</si>
  <si>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</si>
  <si>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</si>
  <si>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</si>
  <si>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</si>
  <si>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</si>
  <si>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</si>
  <si>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</si>
  <si>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</si>
  <si>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</si>
  <si>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</si>
  <si>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</si>
  <si>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</si>
  <si>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</si>
  <si>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</si>
  <si>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</si>
  <si>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</si>
  <si>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</si>
  <si>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</si>
  <si>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</si>
  <si>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</si>
  <si>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</si>
  <si>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</si>
  <si>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</si>
  <si>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</si>
  <si>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</si>
  <si>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</si>
  <si>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</si>
  <si>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</si>
  <si>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</si>
  <si>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</si>
  <si>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</si>
  <si>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</si>
  <si>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</si>
  <si>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</si>
  <si>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</si>
  <si>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</si>
  <si>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</si>
  <si>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</si>
  <si>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</si>
  <si>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</si>
  <si>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</si>
  <si>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</si>
  <si>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</si>
  <si>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</si>
  <si>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</si>
  <si>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</si>
  <si>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</si>
  <si>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</si>
  <si>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</si>
  <si>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</si>
  <si>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</si>
  <si>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</si>
  <si>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</si>
  <si>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</si>
  <si>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</si>
  <si>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</si>
  <si>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</si>
  <si>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</si>
  <si>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</si>
  <si>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</si>
  <si>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</si>
  <si>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</si>
  <si>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</si>
  <si>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</si>
  <si>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</si>
  <si>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</si>
  <si>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</si>
  <si>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</si>
  <si>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</si>
  <si>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</si>
  <si>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</si>
  <si>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</si>
  <si>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</si>
  <si>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</si>
  <si>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</si>
  <si>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</si>
  <si>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</si>
  <si>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</si>
  <si>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</si>
  <si>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</si>
  <si>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</si>
  <si>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</si>
  <si>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</si>
  <si>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</si>
  <si>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</si>
  <si>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</si>
  <si>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</si>
  <si>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</si>
  <si>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</si>
  <si>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</si>
  <si>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</si>
  <si>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</si>
  <si>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</si>
  <si>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</si>
  <si>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</si>
  <si>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</si>
  <si>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</si>
  <si>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</si>
  <si>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</si>
  <si>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</si>
  <si>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</si>
  <si>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</si>
  <si>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</si>
  <si>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</si>
  <si>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</si>
  <si>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</si>
  <si>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</si>
  <si>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</si>
  <si>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</si>
  <si>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</si>
  <si>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</si>
  <si>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</si>
  <si>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</si>
  <si>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</si>
  <si>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</si>
  <si>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</si>
  <si>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</si>
  <si>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</si>
  <si>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</si>
  <si>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</si>
  <si>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</si>
  <si>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</si>
  <si>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</si>
  <si>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</si>
  <si>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</si>
  <si>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</si>
  <si>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</si>
  <si>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</si>
  <si>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</si>
  <si>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</si>
  <si>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</si>
  <si>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</si>
  <si>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</si>
  <si>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</si>
  <si>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</si>
  <si>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</si>
  <si>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</si>
  <si>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</si>
  <si>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</si>
  <si>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</si>
  <si>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</si>
  <si>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</si>
  <si>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</si>
  <si>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</si>
  <si>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</si>
  <si>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</si>
  <si>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</si>
  <si>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</si>
  <si>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</si>
  <si>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</si>
  <si>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</si>
  <si>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</si>
  <si>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</si>
  <si>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</si>
  <si>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</si>
  <si>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</si>
  <si>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</si>
  <si>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</si>
  <si>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</si>
  <si>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</si>
  <si>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</si>
  <si>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</si>
  <si>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</si>
  <si>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</si>
  <si>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</si>
  <si>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</si>
  <si>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</si>
  <si>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</si>
  <si>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</si>
  <si>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</si>
  <si>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</si>
  <si>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</si>
  <si>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</si>
  <si>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</si>
  <si>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</si>
  <si>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</si>
  <si>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</si>
  <si>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</si>
  <si>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</si>
  <si>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</si>
  <si>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</si>
  <si>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</si>
  <si>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</si>
  <si>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</si>
  <si>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</si>
  <si>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</si>
  <si>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</si>
  <si>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</si>
  <si>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</si>
  <si>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</si>
  <si>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</si>
  <si>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</si>
  <si>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</si>
  <si>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</si>
  <si>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</si>
  <si>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</si>
  <si>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</si>
  <si>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</si>
  <si>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</si>
  <si>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</si>
  <si>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</si>
  <si>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</si>
  <si>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</si>
  <si>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</si>
  <si>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</si>
  <si>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</si>
  <si>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</si>
  <si>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</si>
  <si>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</si>
  <si>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</si>
  <si>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</si>
  <si>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</si>
  <si>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</si>
  <si>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</si>
  <si>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</si>
  <si>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</si>
  <si>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</si>
  <si>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</si>
  <si>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</si>
  <si>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</si>
  <si>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</si>
  <si>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</si>
  <si>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</si>
  <si>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</si>
  <si>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</si>
  <si>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</si>
  <si>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</si>
  <si>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</si>
  <si>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</si>
  <si>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</si>
  <si>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</si>
  <si>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</si>
  <si>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</si>
  <si>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</si>
  <si>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</si>
  <si>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</si>
  <si>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</si>
  <si>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</si>
  <si>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</si>
  <si>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</si>
  <si>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</si>
  <si>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</si>
  <si>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</si>
  <si>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</si>
  <si>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</si>
  <si>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</si>
  <si>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</si>
  <si>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</si>
  <si>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</si>
  <si>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</si>
  <si>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</si>
  <si>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</si>
  <si>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</si>
  <si>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</si>
  <si>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</si>
  <si>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</si>
  <si>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</si>
  <si>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</si>
  <si>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</si>
  <si>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</si>
  <si>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</si>
  <si>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</si>
  <si>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</si>
  <si>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</si>
  <si>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</si>
  <si>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</si>
  <si>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</si>
  <si>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</si>
  <si>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</si>
  <si>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</si>
  <si>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</si>
  <si>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</si>
  <si>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</si>
  <si>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</si>
  <si>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</si>
  <si>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</si>
  <si>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</si>
  <si>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</si>
  <si>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</si>
  <si>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</si>
  <si>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</si>
  <si>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</si>
  <si>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</si>
  <si>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</si>
  <si>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</si>
  <si>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</si>
  <si>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</si>
  <si>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</si>
  <si>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</si>
  <si>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</si>
  <si>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</si>
  <si>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</si>
  <si>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</si>
  <si>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</si>
  <si>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</si>
  <si>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</si>
  <si>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</si>
  <si>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</si>
  <si>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</si>
  <si>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</si>
  <si>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</si>
  <si>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</si>
  <si>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</si>
  <si>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</si>
  <si>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</si>
  <si>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</si>
  <si>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</si>
  <si>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</si>
  <si>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</si>
  <si>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</si>
  <si>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</si>
  <si>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</si>
  <si>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</si>
  <si>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</si>
  <si>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</si>
  <si>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</si>
  <si>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</si>
  <si>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</si>
  <si>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</si>
  <si>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</si>
  <si>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</si>
  <si>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</si>
  <si>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</si>
  <si>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</si>
  <si>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</si>
  <si>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</si>
  <si>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</si>
  <si>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</si>
  <si>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</si>
  <si>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</si>
  <si>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</si>
  <si>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</si>
  <si>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</si>
  <si>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</si>
  <si>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</si>
  <si>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</si>
  <si>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</si>
  <si>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</si>
  <si>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</si>
  <si>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</si>
  <si>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</si>
  <si>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</si>
  <si>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</si>
  <si>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</si>
  <si>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</si>
  <si>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</si>
  <si>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</si>
  <si>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</si>
  <si>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</si>
  <si>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</si>
  <si>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</si>
  <si>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</si>
  <si>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</si>
  <si>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</si>
  <si>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</si>
  <si>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</si>
  <si>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</si>
  <si>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</si>
  <si>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</si>
  <si>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</si>
  <si>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</si>
  <si>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</si>
  <si>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</si>
  <si>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</si>
  <si>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</si>
  <si>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</si>
  <si>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</si>
  <si>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</si>
  <si>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</si>
  <si>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</si>
  <si>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</si>
  <si>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</si>
  <si>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</si>
  <si>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</si>
  <si>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</si>
  <si>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</si>
  <si>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</si>
  <si>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</si>
  <si>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</si>
  <si>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</si>
  <si>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</si>
  <si>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</si>
  <si>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</si>
  <si>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</si>
  <si>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</si>
  <si>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</si>
  <si>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</si>
  <si>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</si>
  <si>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</si>
  <si>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</si>
  <si>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</si>
  <si>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</si>
  <si>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</si>
  <si>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</si>
  <si>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</si>
  <si>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</si>
  <si>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</si>
  <si>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</si>
  <si>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</si>
  <si>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</si>
  <si>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</si>
  <si>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</si>
  <si>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</si>
  <si>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</si>
  <si>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</si>
  <si>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</si>
  <si>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</si>
  <si>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</si>
  <si>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</si>
  <si>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</si>
  <si>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</si>
  <si>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</si>
  <si>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</si>
  <si>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</si>
  <si>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</si>
  <si>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</si>
  <si>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</si>
  <si>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</si>
  <si>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</si>
  <si>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</si>
  <si>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</si>
  <si>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</si>
  <si>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</si>
  <si>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</si>
  <si>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</si>
  <si>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</si>
  <si>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</si>
  <si>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</si>
  <si>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</si>
  <si>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</si>
  <si>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</si>
  <si>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</si>
  <si>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</si>
  <si>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</si>
  <si>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</si>
  <si>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</si>
  <si>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</si>
  <si>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</si>
  <si>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</si>
  <si>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</si>
  <si>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</si>
  <si>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</si>
  <si>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</si>
  <si>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</si>
  <si>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</si>
  <si>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</si>
  <si>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</si>
  <si>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</si>
  <si>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</si>
  <si>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</si>
  <si>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</si>
  <si>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</si>
  <si>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</si>
  <si>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</si>
  <si>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</si>
  <si>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</si>
  <si>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</si>
  <si>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</si>
  <si>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</si>
  <si>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</si>
  <si>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</si>
  <si>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</si>
  <si>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</si>
  <si>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</si>
  <si>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</si>
  <si>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</si>
  <si>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</si>
  <si>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</si>
  <si>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</si>
  <si>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</si>
  <si>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</si>
  <si>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</si>
  <si>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</si>
  <si>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</si>
  <si>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</si>
  <si>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</si>
  <si>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</si>
  <si>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</si>
  <si>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</si>
  <si>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</si>
  <si>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</si>
  <si>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</si>
  <si>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</si>
  <si>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</si>
  <si>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</si>
  <si>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</si>
  <si>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</si>
  <si>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</si>
  <si>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</si>
  <si>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</si>
  <si>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</si>
  <si>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</si>
  <si>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</si>
  <si>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</si>
  <si>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</si>
  <si>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</si>
  <si>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</si>
  <si>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</si>
  <si>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</si>
  <si>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</si>
  <si>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</si>
  <si>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</si>
  <si>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</si>
  <si>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</si>
  <si>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</si>
  <si>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</si>
  <si>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</si>
  <si>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</si>
  <si>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</si>
  <si>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</si>
  <si>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</si>
  <si>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</si>
  <si>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</si>
  <si>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</si>
  <si>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</si>
  <si>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</si>
  <si>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</si>
  <si>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</si>
  <si>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</si>
  <si>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</si>
  <si>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</si>
  <si>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</si>
  <si>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</si>
  <si>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</si>
  <si>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</si>
  <si>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</si>
  <si>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</si>
  <si>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</si>
  <si>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</si>
  <si>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</si>
  <si>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</si>
  <si>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</si>
  <si>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</si>
  <si>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</si>
  <si>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</si>
  <si>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</si>
  <si>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</si>
  <si>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</si>
  <si>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</si>
  <si>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</si>
  <si>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</si>
  <si>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</si>
  <si>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</si>
  <si>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</si>
  <si>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</si>
  <si>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</si>
  <si>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</si>
  <si>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</si>
  <si>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</si>
  <si>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</si>
  <si>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</si>
  <si>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</si>
  <si>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</si>
  <si>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</si>
  <si>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</si>
  <si>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</si>
  <si>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</si>
  <si>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</si>
  <si>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</si>
  <si>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</si>
  <si>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</si>
  <si>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</si>
  <si>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</si>
  <si>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</si>
  <si>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</si>
  <si>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</si>
  <si>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</si>
  <si>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</si>
  <si>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</si>
  <si>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</si>
  <si>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</si>
  <si>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</si>
  <si>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</si>
  <si>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</si>
  <si>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</si>
  <si>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</si>
  <si>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</si>
  <si>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</si>
  <si>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</si>
  <si>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</si>
  <si>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</si>
  <si>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</si>
  <si>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</si>
  <si>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</si>
  <si>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</si>
  <si>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</si>
  <si>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</si>
  <si>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</si>
  <si>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Clement &amp; Company, LLC</t>
  </si>
  <si>
    <t>Mitchell Davenport</t>
  </si>
  <si>
    <t>mdavenport@clementdev.com</t>
  </si>
  <si>
    <t>SCG Development Partners, LLC</t>
  </si>
  <si>
    <t>Jason Duguay</t>
  </si>
  <si>
    <t>Senior Vice President</t>
  </si>
  <si>
    <t>jbd@scgdevelopment.com</t>
  </si>
  <si>
    <t>Dogwood Trail Apartments II</t>
  </si>
  <si>
    <t>City Limits</t>
  </si>
  <si>
    <t>John Wall &amp; Associates</t>
  </si>
  <si>
    <t>Terracon</t>
  </si>
  <si>
    <t>Purchase Contract</t>
  </si>
  <si>
    <t>Building</t>
  </si>
  <si>
    <t>On-site laundry</t>
  </si>
  <si>
    <t>Not Applicable to Dogwood Trail II</t>
  </si>
  <si>
    <t>Manager of the General Partner</t>
  </si>
  <si>
    <t>Mitchell F. Davenport</t>
  </si>
  <si>
    <t>Georiga DCA</t>
  </si>
  <si>
    <t>Electric Heat Pump</t>
  </si>
  <si>
    <t>N/a</t>
  </si>
  <si>
    <t>BBG Real Estate Services - Kim Garner</t>
  </si>
  <si>
    <t>Dogwood Trail GP II, LLC</t>
  </si>
  <si>
    <t>There is an identity of interest between the buyer and seller for 3.4 acre project site.  The land is being sold to the partnership at its acquisition cost which is well below the appraised value.  As required, an appraisal is included in the application</t>
  </si>
  <si>
    <t>The project has legal access from Marie Rd, East Rd and Pineview Avenue, all public roads are maintained by the City of Albany.</t>
  </si>
  <si>
    <t xml:space="preserve">The property is zoned C-R Community Residential Multiple Dwelling District in which apartments are allowed by right.  The relevant parts of the ordinance are included in the application. </t>
  </si>
  <si>
    <t>City of Albany</t>
  </si>
  <si>
    <t>A letter from the Utility Engineering Superintendant is included in the application stating that electric service is available to the site in the rights-of-way. No easements are necessary. Units are all electric. Gas, whle avialable will not be utilized.</t>
  </si>
  <si>
    <t>Covered Porch</t>
  </si>
  <si>
    <t>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t>
  </si>
  <si>
    <t>Agree</t>
  </si>
  <si>
    <t xml:space="preserve">Applicant AGREES that the property will comply with Georgia State Minimum Standard Energy Code and will obtain Earth Craft House Multifamily certification. The Earth Craft House Multifamily scoresheet included  a score exceeding the required minimum score of 100. </t>
  </si>
  <si>
    <t>Yes - see Comment</t>
  </si>
  <si>
    <t>Not Applicable</t>
  </si>
  <si>
    <t>Not Applicable. The project site is vacant.</t>
  </si>
  <si>
    <t>Four services from the required categories will be provided as required for seniors properties.</t>
  </si>
  <si>
    <t>Both letters from the apropriate city departments indicate that water and sewer are available to the site with adequate capacity to serve the proposed development. The utilities are located in the public rights-of-way with no easements required to access them.</t>
  </si>
  <si>
    <t>Albany Transit System</t>
  </si>
  <si>
    <t>atsdispatch@albany.ga.us</t>
  </si>
  <si>
    <t>https://www.albanyga.gov/about-us/city-departments/albany-transit-system</t>
  </si>
  <si>
    <t>Turner Elementary School</t>
  </si>
  <si>
    <t>Albany Middle School</t>
  </si>
  <si>
    <t>Dougherty Comprehensive High School</t>
  </si>
  <si>
    <t>Turner Elementary School and Dougherty Comprehensive High School both received "Beating the Odds" designation in 2018. The two schools exceed the required 7 grades for 1.5 points.</t>
  </si>
  <si>
    <t>14,15,16</t>
  </si>
  <si>
    <t>9,11,31</t>
  </si>
  <si>
    <t>18-25</t>
  </si>
  <si>
    <t>Not Applicable. Dogwood Trail Apartments II is claiming points under Revitalization/Redevelopment Plans.</t>
  </si>
  <si>
    <t>2018-058</t>
  </si>
  <si>
    <t>Dogwood Trail Apartments</t>
  </si>
  <si>
    <t>Not applicable as Dogwood Trail Apartments II is a Phased Development</t>
  </si>
  <si>
    <t>Not Applicable. Dogwood Trail Apartments II is located outside the Atlanta Metro Pool</t>
  </si>
  <si>
    <t>Applicant has had no negative prior performanc related to DCA Section 811.</t>
  </si>
  <si>
    <t>Not Applicable. Dogwood Trail Apartments II is a 9% new supply application.</t>
  </si>
  <si>
    <t>9% Credit Competitive Round only</t>
  </si>
  <si>
    <t>2023PA-033</t>
  </si>
  <si>
    <t>2022 HUD Section 8 Income Limits</t>
  </si>
  <si>
    <t>Low-Rise Elevator</t>
  </si>
  <si>
    <t>Dogwood Trail Apartments II agrees to engage QB's in an amount equal to approximately 5% of total constuction hard costs as certified by Independent Auditor Report in the Final Allocation Application.</t>
  </si>
  <si>
    <t>Churchill Stateside Group</t>
  </si>
  <si>
    <t>Stratford Capital Group</t>
  </si>
  <si>
    <t>Sugar Creek Capital</t>
  </si>
  <si>
    <t>Amortizing</t>
  </si>
  <si>
    <t>Clement &amp; Company/SCG Development Partners</t>
  </si>
  <si>
    <t>Compliance Fees</t>
  </si>
  <si>
    <t>DDA/QCT</t>
  </si>
  <si>
    <t xml:space="preserve">The federal equity amount is based on a purchase of 98.99% of the limited partnership
The state equity amount is based on a 1.00% share of the federal tax credits and 100% of the state tax credits.
    </t>
  </si>
  <si>
    <t>Unit Water &amp; Sewer will be individually metered by the City of Albany.</t>
  </si>
  <si>
    <t>Real Estate Taxes were estimated based on the actual assessed value for Dogwood Trail Apartments (Phase I) and a comparison of tax assessments for other tax credit properties in Dougherty County. The assessed value of $900,000/ 64 units = $14,375 per unit. For calculation purposes that value is rounded to $14,500 per unit to be conservative in Phase II.  The calculation is as follows:  Assessed Value of $14,500 X 40 Units = $580,000 X .0467626 (Local Mill Rate) = $27,122 ROUNDED TO $27,150
     Insurance Expense of $30,000 is based on the estimate provided by the insurance broker considering investor required coverages, historical insurance rates for Dogwood Trail Phase , and the current state of the insurance market. A letter is provided in the feasibility tab of the application.</t>
  </si>
  <si>
    <t>The proposed Dogwood Trail Apartments II meets DCA's Threshold requirements for feasibility, viability and conformance with the QAP. The permanent lender has offered an amortizing loan with a 17 year term and 35 year amortization. The project's permanent loan debt service coverage is above the required 1.20 for the 17 year term of the loan. The market study supports the demand for the project in an area covered by the East Albany Revitalization Plan that enjoys the full support of the City of Albany to improve the area.</t>
  </si>
  <si>
    <t>Dogwood Trail Apartments II is designated for HFOP residents age 55+ as selected in Emphasys. All units above the ground floor are accessible by elevator.</t>
  </si>
  <si>
    <t>The overall market occupancy rate is 87.4%. However, the average occupancy for LIHTC units in the market area is 99.0%. Additionally, there are limited options for seniors in East Albany as there has not been a new senior LIHTC property since 2010. The market study indicates the property should lease up in two months.</t>
  </si>
  <si>
    <t xml:space="preserve">There is an identity of interest between the buyer and seller for 3.4 acre project site.  The land is being sold to the partnership at its acquisition cost which is well below the appraised value.  As required, an appraisal is included in the application.  </t>
  </si>
  <si>
    <t xml:space="preserve">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t>
  </si>
  <si>
    <t>All required amenities are documented above but also on the site plan either written or graphically. Powder-based stovetop fire supression canisters will be installed above range cook top.</t>
  </si>
  <si>
    <t xml:space="preserve">Dogwood Trail Apartments II will comply with DCA Accessibility Standards and will engage Zeffert &amp; Associates as the DCA Qualified Consultant for accessibilty review. </t>
  </si>
  <si>
    <t>Architectural Design &amp; Quality Standards will be met. The options selected above are included in the site development plan submitted. The cost for Broadband Access in the community building is included in Telephone costs in the operating budget.</t>
  </si>
  <si>
    <t>All experience and compliance information was submitted via Pre-Application 2023PA-033.  The project team received a designation of "Qualified". No changes to the project team have occurred since the pre-application submission. The Qualification Determination is included in the application.</t>
  </si>
  <si>
    <t>Applicant agrees to prepare and submit an AFHMP meeting the above stated requirements.</t>
  </si>
  <si>
    <t>Dogwood Trail Apartments II is an efficient opportunity to complete the planned revitalization of a formerly blighted property. The proposed development has the support of the Albany  GICH Team, city council and a dedicated Transformation Team.</t>
  </si>
  <si>
    <t>The project was reduced from 48 units at pre-application to 40 units.
     The project is located in Census Tract 1.01 which is a Qualified Census Tract in 2023.</t>
  </si>
  <si>
    <t>Dogwood Trail Apartments II was selected by the City of Albany GICH Team as the 2023 GICH Development after a competitive process. The GICH letter and city's letter of acceptance and support are included in the application.</t>
  </si>
  <si>
    <t>Not Applicable
&lt;&lt;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</si>
  <si>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t>Not Applicable
&lt;&lt;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</si>
  <si>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Dogwood Trail Apartments II is the second phase of Dogwood Trail Apartments. Site Control for Dogwood Trail II was obtained on 9/30/19 with the purchase of the site before closing the partnership on 12/6/19.  The master plan is included in the application package showing Phase I, Phase II and the area to the north of Phase II which has been reserved for commercial. Dogwood Trail Apartments (Phase I) placed in service on 12/31/2020.</t>
  </si>
  <si>
    <t>Dogwood Trail Apartments II commits to accept resident services coordination from an entity certified as a "3rd Party Resident Services Coordination Contractor" by CORES or other DCA-approved program.</t>
  </si>
  <si>
    <t xml:space="preserve">The site is within one mile (0.8 miles) walking distance of a transit hub served by three routes making the site eligible for 4 points. Additionally, there is a second stop served by a single route 0.2 miles walking distance from the site. </t>
  </si>
  <si>
    <t>Tables on pgs 25-35</t>
  </si>
  <si>
    <t xml:space="preserve">Dogwood Trail II is located within the area targeted by the East Albany Revitalization Plan. The plan meets all the requisite requirements as oulined in in the QAP and was adopted on 11/14/2017. The City of Albany has been diligently implementing the East Albany Revitalzation Plan.  The City of Albany has made considerable infrastructure investments within 0.5 miles of the site in the amount of $751,954 to further the East Albany Revitalization Plan and improve quality of life. A portion of those funds have been spend directly adjacent to Phase I of the development with a renovated/upgraded public transit stop serving the property, repaving of Pineview Avenue Rd andMarie Rd adjacent to the property and the planned repaving of East Rd along the east border of the site. Sidewalks have been added from East Rd to School Rd providing youth a safe walking route to school. Third Pary Capital Investment is doumented with over $6.4 million of private funds invested just north of the property across Clark Avenue.
     Census Tract 1.01 is a QCT in 2023. </t>
  </si>
  <si>
    <t xml:space="preserve">The site location exceeds the maximum allowable 20 points with 26.5. The project is located within the East Albany Revitalization Plan with a concerted effort to remove blight in the area.  The first phase of the proposed development, Dogwood Trail Apartments, is complete and has had a positive impact on the surrounding neighborhood by encouraging new investment.  </t>
  </si>
  <si>
    <t xml:space="preserve">A Community Based Team has been assembled to address the needs of the neighborhood. The team is composed of leaders from government, healthcare, education, employment, transportation and residents of the neighborhood. The Transformation Team has the support of local government. Dogwood Trail II was selected as the City of Albany's GICH project for 2023 an a member of the GICH team is represented on the Transformation Team along with the elected official from the project district. </t>
  </si>
  <si>
    <t>The Year 1 DSC is 1.53 which is required to remain above the lender required 1.20 DSC throughout the 17 year term of the loan. Debt service is consistent with underwriting from the proposed Permanent Lender and does not deviate throughout the loan period.
     Asset management fees are required to increase by 3% annually.</t>
  </si>
  <si>
    <t>Construction Hard Costs were estimated using the general contractors current costs for comparable buildings under constuction or in the bid phase. Costs include an elevator in each building to reach the second floor.
     The Federal Syndicator requires that replacement reserves be included in the Operating Deficit Reserve Calculation resulting in a slightly higher ODR than calculated by the Core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</si>
</sst>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5625" defaultRowHeight="12.75"/>
  <cols>
    <col min="1" max="1" width="171.3984375" customWidth="1"/>
  </cols>
  <sheetData>
    <row r="1" spans="1:6" ht="15" customHeight="1">
      <c r="A1" s="665" t="s">
        <v>915</v>
      </c>
    </row>
    <row r="2" spans="1:6" ht="15" customHeight="1">
      <c r="A2" s="666" t="str">
        <f>'Part I-Project Identification'!F25</f>
        <v>Dogwood Trail Apartments II</v>
      </c>
    </row>
    <row r="3" spans="1:6" ht="15" customHeight="1">
      <c r="A3" s="666" t="str">
        <f>CONCATENATE('Part I-Project Identification'!F26,", ", 'Part I-Project Identification'!J26," County")</f>
        <v>Albany, Dougherty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1" zoomScaleNormal="100" workbookViewId="0">
      <selection activeCell="H232" sqref="H232"/>
    </sheetView>
  </sheetViews>
  <sheetFormatPr defaultColWidth="9.265625" defaultRowHeight="13.15"/>
  <cols>
    <col min="1" max="1" width="2.73046875" style="6" customWidth="1"/>
    <col min="2" max="2" width="10" style="6" customWidth="1"/>
    <col min="3" max="3" width="7.59765625" style="6" customWidth="1"/>
    <col min="4" max="4" width="6.3984375" style="6" customWidth="1"/>
    <col min="5" max="5" width="6.73046875" style="6" customWidth="1"/>
    <col min="6" max="6" width="8.265625" style="6" customWidth="1"/>
    <col min="7" max="8" width="9.73046875" style="6" customWidth="1"/>
    <col min="9" max="9" width="10.73046875" style="6" customWidth="1"/>
    <col min="10" max="10" width="11.73046875" style="6" customWidth="1"/>
    <col min="11" max="11" width="10.265625" style="6" customWidth="1"/>
    <col min="12" max="12" width="9.73046875" style="6" customWidth="1"/>
    <col min="13" max="14" width="11" style="6" customWidth="1"/>
    <col min="15" max="15" width="13.73046875" style="6" customWidth="1"/>
    <col min="16" max="16" width="15.3984375" style="6" customWidth="1"/>
    <col min="17" max="17" width="12.3984375" style="62" customWidth="1"/>
    <col min="18" max="18" width="9.73046875" style="62" customWidth="1"/>
    <col min="19" max="21" width="7.73046875" style="62" customWidth="1"/>
    <col min="22" max="22" width="59.265625" style="62" customWidth="1"/>
    <col min="23" max="23" width="47.73046875" style="62" customWidth="1"/>
    <col min="24" max="137" width="9.265625" style="357" customWidth="1"/>
    <col min="138" max="138" width="12.59765625" style="357" customWidth="1"/>
    <col min="139" max="139" width="8.265625" style="357" customWidth="1"/>
    <col min="140" max="143" width="7.265625" style="357" customWidth="1"/>
    <col min="144" max="144" width="8.265625" style="357" customWidth="1"/>
    <col min="145" max="148" width="7.265625" style="357" customWidth="1"/>
    <col min="149" max="158" width="9.265625" style="357" customWidth="1"/>
    <col min="159" max="159" width="8.265625" style="357" customWidth="1"/>
    <col min="160" max="163" width="7.265625" style="357" customWidth="1"/>
    <col min="164" max="168" width="9.265625" style="357" customWidth="1"/>
    <col min="169" max="169" width="8.265625" style="357" customWidth="1"/>
    <col min="170" max="173" width="7.265625" style="357" customWidth="1"/>
    <col min="174" max="253" width="9.265625" style="357" customWidth="1"/>
    <col min="254" max="258" width="11.265625" style="357" customWidth="1"/>
    <col min="259" max="273" width="9.265625" style="357" customWidth="1"/>
    <col min="274" max="274" width="10.265625" style="357" customWidth="1"/>
    <col min="275" max="278" width="10" style="357" customWidth="1"/>
    <col min="279" max="282" width="9.265625" style="357" customWidth="1"/>
    <col min="283" max="283" width="9.265625" style="1748" customWidth="1"/>
    <col min="284" max="287" width="9.265625" style="357" customWidth="1"/>
    <col min="288" max="288" width="9.265625" style="1748" customWidth="1"/>
    <col min="289" max="292" width="11.3984375" style="357" customWidth="1"/>
    <col min="293" max="293" width="11.3984375" style="1748" customWidth="1"/>
    <col min="294" max="297" width="11.3984375" style="357" customWidth="1"/>
    <col min="298" max="298" width="11.3984375" style="1748" customWidth="1"/>
    <col min="299" max="313" width="9.265625" style="1748" customWidth="1"/>
    <col min="314" max="318" width="11" style="1748" customWidth="1"/>
    <col min="319" max="319" width="9.265625" style="1748" customWidth="1"/>
    <col min="320" max="325" width="9.265625" style="357" customWidth="1"/>
    <col min="326" max="326" width="9.265625" style="361" customWidth="1"/>
    <col min="327" max="341" width="9.265625" style="357" customWidth="1"/>
    <col min="342" max="343" width="9.265625" style="361" customWidth="1"/>
    <col min="344" max="350" width="10.265625" style="357" customWidth="1"/>
    <col min="351" max="353" width="9.265625" style="357"/>
    <col min="354" max="354" width="10.3984375" style="357" customWidth="1"/>
    <col min="355" max="358" width="10.265625" style="357" customWidth="1"/>
    <col min="359" max="378" width="9.265625" style="115"/>
    <col min="379" max="379" width="9.265625" style="357"/>
    <col min="380" max="380" width="9.265625" style="1719"/>
    <col min="381" max="381" width="9.265625" style="357"/>
    <col min="382" max="493" width="9.265625" style="115"/>
    <col min="494" max="16384" width="9.26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Dogwood Trail Apartments II, Albany, Dougherty County</v>
      </c>
      <c r="B2" s="3661"/>
      <c r="C2" s="3661"/>
      <c r="D2" s="3661"/>
      <c r="E2" s="3661"/>
      <c r="F2" s="3661"/>
      <c r="G2" s="3661"/>
      <c r="H2" s="3661"/>
      <c r="I2" s="3661"/>
      <c r="J2" s="3661"/>
      <c r="K2" s="3661"/>
      <c r="L2" s="3661"/>
      <c r="M2" s="3661"/>
      <c r="N2" s="3661"/>
      <c r="O2" s="3661"/>
      <c r="P2" s="3661"/>
      <c r="Q2" s="3662"/>
      <c r="T2" s="1427" t="str">
        <f>A2</f>
        <v>PART FOUR - PROJECTED REVENUES &amp; EXPENSES  -  2023-0 Dogwood Trail Apartments II, Albany, Dougherty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5" t="str">
        <f>'Part I-Project Identification'!$O$28</f>
        <v>Albany</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3203</v>
      </c>
      <c r="R5" s="830"/>
      <c r="S5" s="337"/>
      <c r="T5" s="337"/>
      <c r="U5" s="337"/>
      <c r="W5" s="338"/>
      <c r="X5" s="3554" t="s">
        <v>3681</v>
      </c>
      <c r="Y5" s="3554" t="s">
        <v>3682</v>
      </c>
      <c r="Z5" s="3554" t="s">
        <v>3683</v>
      </c>
      <c r="AA5" s="3554" t="s">
        <v>3684</v>
      </c>
      <c r="AB5" s="3554" t="s">
        <v>3685</v>
      </c>
      <c r="AC5" s="3554" t="s">
        <v>3686</v>
      </c>
      <c r="AD5" s="3554" t="s">
        <v>3687</v>
      </c>
      <c r="AE5" s="3554" t="s">
        <v>3688</v>
      </c>
      <c r="AF5" s="3554" t="s">
        <v>3689</v>
      </c>
      <c r="AG5" s="3554" t="s">
        <v>3690</v>
      </c>
      <c r="AH5" s="3554" t="s">
        <v>861</v>
      </c>
      <c r="AI5" s="3554" t="s">
        <v>705</v>
      </c>
      <c r="AJ5" s="3554" t="s">
        <v>706</v>
      </c>
      <c r="AK5" s="3554" t="s">
        <v>707</v>
      </c>
      <c r="AL5" s="3554" t="s">
        <v>708</v>
      </c>
      <c r="AM5" s="3554" t="s">
        <v>862</v>
      </c>
      <c r="AN5" s="3554" t="s">
        <v>2131</v>
      </c>
      <c r="AO5" s="3554" t="s">
        <v>2132</v>
      </c>
      <c r="AP5" s="3554" t="s">
        <v>2133</v>
      </c>
      <c r="AQ5" s="3554" t="s">
        <v>2134</v>
      </c>
      <c r="AR5" s="3554" t="s">
        <v>3692</v>
      </c>
      <c r="AS5" s="3554" t="s">
        <v>3693</v>
      </c>
      <c r="AT5" s="3554" t="s">
        <v>3694</v>
      </c>
      <c r="AU5" s="3554" t="s">
        <v>3695</v>
      </c>
      <c r="AV5" s="3554" t="s">
        <v>3691</v>
      </c>
      <c r="AW5" s="3554" t="s">
        <v>863</v>
      </c>
      <c r="AX5" s="3554" t="s">
        <v>2135</v>
      </c>
      <c r="AY5" s="3554" t="s">
        <v>2136</v>
      </c>
      <c r="AZ5" s="3554" t="s">
        <v>2137</v>
      </c>
      <c r="BA5" s="3554" t="s">
        <v>2138</v>
      </c>
      <c r="BB5" s="3554" t="s">
        <v>3696</v>
      </c>
      <c r="BC5" s="3554" t="s">
        <v>3697</v>
      </c>
      <c r="BD5" s="3554" t="s">
        <v>3698</v>
      </c>
      <c r="BE5" s="3554" t="s">
        <v>3699</v>
      </c>
      <c r="BF5" s="3554" t="s">
        <v>3700</v>
      </c>
      <c r="BG5" s="3554" t="s">
        <v>123</v>
      </c>
      <c r="BH5" s="3554" t="s">
        <v>2139</v>
      </c>
      <c r="BI5" s="3554" t="s">
        <v>2140</v>
      </c>
      <c r="BJ5" s="3554" t="s">
        <v>2141</v>
      </c>
      <c r="BK5" s="3554" t="s">
        <v>1080</v>
      </c>
      <c r="BL5" s="3554" t="s">
        <v>3701</v>
      </c>
      <c r="BM5" s="3554" t="s">
        <v>3702</v>
      </c>
      <c r="BN5" s="3554" t="s">
        <v>3703</v>
      </c>
      <c r="BO5" s="3554" t="s">
        <v>3704</v>
      </c>
      <c r="BP5" s="3554" t="s">
        <v>3705</v>
      </c>
      <c r="BQ5" s="3554" t="s">
        <v>517</v>
      </c>
      <c r="BR5" s="3554" t="s">
        <v>518</v>
      </c>
      <c r="BS5" s="3554" t="s">
        <v>535</v>
      </c>
      <c r="BT5" s="3554" t="s">
        <v>536</v>
      </c>
      <c r="BU5" s="3554" t="s">
        <v>537</v>
      </c>
      <c r="BV5" s="3554" t="s">
        <v>3706</v>
      </c>
      <c r="BW5" s="3554" t="s">
        <v>3707</v>
      </c>
      <c r="BX5" s="3554" t="s">
        <v>3708</v>
      </c>
      <c r="BY5" s="3554" t="s">
        <v>3709</v>
      </c>
      <c r="BZ5" s="3554" t="s">
        <v>3710</v>
      </c>
      <c r="CA5" s="3554" t="s">
        <v>538</v>
      </c>
      <c r="CB5" s="3554" t="s">
        <v>539</v>
      </c>
      <c r="CC5" s="3554" t="s">
        <v>540</v>
      </c>
      <c r="CD5" s="3554" t="s">
        <v>541</v>
      </c>
      <c r="CE5" s="3554" t="s">
        <v>542</v>
      </c>
      <c r="CF5" s="3554" t="s">
        <v>543</v>
      </c>
      <c r="CG5" s="3554" t="s">
        <v>544</v>
      </c>
      <c r="CH5" s="3554" t="s">
        <v>872</v>
      </c>
      <c r="CI5" s="3554" t="s">
        <v>873</v>
      </c>
      <c r="CJ5" s="3554" t="s">
        <v>874</v>
      </c>
      <c r="CK5" s="3554" t="s">
        <v>3716</v>
      </c>
      <c r="CL5" s="3554" t="s">
        <v>3717</v>
      </c>
      <c r="CM5" s="3554" t="s">
        <v>3718</v>
      </c>
      <c r="CN5" s="3554" t="s">
        <v>3719</v>
      </c>
      <c r="CO5" s="3554" t="s">
        <v>3720</v>
      </c>
      <c r="CP5" s="3554" t="s">
        <v>3711</v>
      </c>
      <c r="CQ5" s="3554" t="s">
        <v>3712</v>
      </c>
      <c r="CR5" s="3554" t="s">
        <v>3713</v>
      </c>
      <c r="CS5" s="3554" t="s">
        <v>3714</v>
      </c>
      <c r="CT5" s="3554" t="s">
        <v>3715</v>
      </c>
      <c r="CU5" s="3554" t="s">
        <v>3721</v>
      </c>
      <c r="CV5" s="3554" t="s">
        <v>3722</v>
      </c>
      <c r="CW5" s="3554" t="s">
        <v>3723</v>
      </c>
      <c r="CX5" s="3554" t="s">
        <v>3724</v>
      </c>
      <c r="CY5" s="3554" t="s">
        <v>3725</v>
      </c>
      <c r="CZ5" s="3554" t="s">
        <v>466</v>
      </c>
      <c r="DA5" s="3554" t="s">
        <v>467</v>
      </c>
      <c r="DB5" s="3554" t="s">
        <v>468</v>
      </c>
      <c r="DC5" s="3554" t="s">
        <v>469</v>
      </c>
      <c r="DD5" s="3554" t="s">
        <v>470</v>
      </c>
      <c r="DE5" s="3554" t="s">
        <v>3726</v>
      </c>
      <c r="DF5" s="3554" t="s">
        <v>3727</v>
      </c>
      <c r="DG5" s="3554" t="s">
        <v>3728</v>
      </c>
      <c r="DH5" s="3554" t="s">
        <v>3729</v>
      </c>
      <c r="DI5" s="3554" t="s">
        <v>3730</v>
      </c>
      <c r="DJ5" s="3554" t="s">
        <v>822</v>
      </c>
      <c r="DK5" s="3554" t="s">
        <v>823</v>
      </c>
      <c r="DL5" s="3554" t="s">
        <v>824</v>
      </c>
      <c r="DM5" s="3554" t="s">
        <v>825</v>
      </c>
      <c r="DN5" s="3554" t="s">
        <v>826</v>
      </c>
      <c r="DO5" s="3554" t="s">
        <v>827</v>
      </c>
      <c r="DP5" s="3554" t="s">
        <v>828</v>
      </c>
      <c r="DQ5" s="3554" t="s">
        <v>829</v>
      </c>
      <c r="DR5" s="3554" t="s">
        <v>830</v>
      </c>
      <c r="DS5" s="3554" t="s">
        <v>831</v>
      </c>
      <c r="DT5" s="3554" t="s">
        <v>3731</v>
      </c>
      <c r="DU5" s="3554" t="s">
        <v>3732</v>
      </c>
      <c r="DV5" s="3554" t="s">
        <v>3733</v>
      </c>
      <c r="DW5" s="3554" t="s">
        <v>3734</v>
      </c>
      <c r="DX5" s="3554" t="s">
        <v>3735</v>
      </c>
      <c r="DY5" s="3554" t="s">
        <v>3736</v>
      </c>
      <c r="DZ5" s="3554" t="s">
        <v>3737</v>
      </c>
      <c r="EA5" s="3554" t="s">
        <v>3738</v>
      </c>
      <c r="EB5" s="3554" t="s">
        <v>3739</v>
      </c>
      <c r="EC5" s="3554" t="s">
        <v>3740</v>
      </c>
      <c r="ED5" s="3554" t="s">
        <v>2235</v>
      </c>
      <c r="EE5" s="3554" t="s">
        <v>2236</v>
      </c>
      <c r="EF5" s="3554" t="s">
        <v>2237</v>
      </c>
      <c r="EG5" s="3554" t="s">
        <v>2238</v>
      </c>
      <c r="EH5" s="3554" t="s">
        <v>2239</v>
      </c>
      <c r="EI5" s="3554" t="s">
        <v>3741</v>
      </c>
      <c r="EJ5" s="3554" t="s">
        <v>3742</v>
      </c>
      <c r="EK5" s="3554" t="s">
        <v>3743</v>
      </c>
      <c r="EL5" s="3554" t="s">
        <v>3744</v>
      </c>
      <c r="EM5" s="3554" t="s">
        <v>3745</v>
      </c>
      <c r="EN5" s="3554" t="s">
        <v>3746</v>
      </c>
      <c r="EO5" s="3554" t="s">
        <v>3747</v>
      </c>
      <c r="EP5" s="3554" t="s">
        <v>3748</v>
      </c>
      <c r="EQ5" s="3554" t="s">
        <v>3749</v>
      </c>
      <c r="ER5" s="3554" t="s">
        <v>3750</v>
      </c>
      <c r="ES5" s="3554" t="s">
        <v>111</v>
      </c>
      <c r="ET5" s="3554" t="s">
        <v>1083</v>
      </c>
      <c r="EU5" s="3554" t="s">
        <v>1084</v>
      </c>
      <c r="EV5" s="3554" t="s">
        <v>1139</v>
      </c>
      <c r="EW5" s="3554" t="s">
        <v>1140</v>
      </c>
      <c r="EX5" s="3554" t="s">
        <v>126</v>
      </c>
      <c r="EY5" s="3554" t="s">
        <v>1141</v>
      </c>
      <c r="EZ5" s="3554" t="s">
        <v>1142</v>
      </c>
      <c r="FA5" s="3554" t="s">
        <v>1143</v>
      </c>
      <c r="FB5" s="3554" t="s">
        <v>1144</v>
      </c>
      <c r="FC5" s="3554" t="s">
        <v>3751</v>
      </c>
      <c r="FD5" s="3554" t="s">
        <v>3752</v>
      </c>
      <c r="FE5" s="3554" t="s">
        <v>3753</v>
      </c>
      <c r="FF5" s="3554" t="s">
        <v>3754</v>
      </c>
      <c r="FG5" s="3554" t="s">
        <v>3755</v>
      </c>
      <c r="FH5" s="3554" t="s">
        <v>125</v>
      </c>
      <c r="FI5" s="3554" t="s">
        <v>853</v>
      </c>
      <c r="FJ5" s="3554" t="s">
        <v>854</v>
      </c>
      <c r="FK5" s="3554" t="s">
        <v>855</v>
      </c>
      <c r="FL5" s="3554" t="s">
        <v>856</v>
      </c>
      <c r="FM5" s="3554" t="s">
        <v>3756</v>
      </c>
      <c r="FN5" s="3554" t="s">
        <v>3757</v>
      </c>
      <c r="FO5" s="3554" t="s">
        <v>3758</v>
      </c>
      <c r="FP5" s="3554" t="s">
        <v>3759</v>
      </c>
      <c r="FQ5" s="3554" t="s">
        <v>3760</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6094</v>
      </c>
      <c r="D6" s="1515"/>
      <c r="E6" s="1515"/>
      <c r="F6" s="1515"/>
      <c r="G6" s="1211" t="s">
        <v>194</v>
      </c>
      <c r="H6" s="3663" t="s">
        <v>6096</v>
      </c>
      <c r="I6" s="3664"/>
      <c r="J6" s="3664"/>
      <c r="K6" s="686" t="s">
        <v>3135</v>
      </c>
      <c r="L6" s="3556" t="str">
        <f>'Part I-Project Identification'!$A$6</f>
        <v>April 2023</v>
      </c>
      <c r="M6" s="3556"/>
      <c r="N6" s="3556"/>
      <c r="O6" s="1717" t="s">
        <v>6076</v>
      </c>
      <c r="P6" s="1505">
        <v>57500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6280</v>
      </c>
      <c r="MQ6" s="3554" t="s">
        <v>6281</v>
      </c>
      <c r="MR6" s="3554" t="s">
        <v>6282</v>
      </c>
      <c r="MS6" s="3554" t="s">
        <v>6283</v>
      </c>
      <c r="MT6" s="3554"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6095</v>
      </c>
      <c r="E7" s="4"/>
      <c r="G7" s="1246" t="s">
        <v>2652</v>
      </c>
      <c r="I7" s="3587" t="s">
        <v>4070</v>
      </c>
      <c r="J7" s="686" t="s">
        <v>742</v>
      </c>
      <c r="K7" s="686" t="s">
        <v>3182</v>
      </c>
      <c r="L7" s="3556"/>
      <c r="M7" s="3556"/>
      <c r="N7" s="3556"/>
      <c r="O7" s="1718" t="s">
        <v>6075</v>
      </c>
      <c r="P7" s="1543">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3763</v>
      </c>
      <c r="C8" s="1"/>
      <c r="E8" s="1"/>
      <c r="F8" s="1"/>
      <c r="I8" s="3587"/>
      <c r="J8" s="686" t="s">
        <v>743</v>
      </c>
      <c r="K8" s="686" t="s">
        <v>3183</v>
      </c>
      <c r="L8" s="667"/>
      <c r="M8" s="667"/>
      <c r="N8" s="1716" t="s">
        <v>6479</v>
      </c>
      <c r="O8" s="3589" t="s">
        <v>7089</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3764</v>
      </c>
      <c r="C9" s="686" t="s">
        <v>165</v>
      </c>
      <c r="D9" s="686" t="s">
        <v>510</v>
      </c>
      <c r="E9" s="686" t="s">
        <v>1382</v>
      </c>
      <c r="F9" s="686" t="s">
        <v>1382</v>
      </c>
      <c r="G9" s="3587" t="s">
        <v>6091</v>
      </c>
      <c r="H9" s="830" t="s">
        <v>3301</v>
      </c>
      <c r="I9" s="3587"/>
      <c r="J9" s="3583" t="s">
        <v>6085</v>
      </c>
      <c r="K9" s="686" t="s">
        <v>2217</v>
      </c>
      <c r="L9" s="3592" t="s">
        <v>139</v>
      </c>
      <c r="M9" s="3593"/>
      <c r="N9" s="686" t="s">
        <v>2184</v>
      </c>
      <c r="O9" s="686" t="s">
        <v>6482</v>
      </c>
      <c r="P9" s="3585" t="s">
        <v>6244</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6285</v>
      </c>
      <c r="IZ9" s="3554" t="s">
        <v>6285</v>
      </c>
      <c r="JA9" s="3554" t="s">
        <v>6285</v>
      </c>
      <c r="JB9" s="3554" t="s">
        <v>6285</v>
      </c>
      <c r="JC9" s="3554" t="s">
        <v>6285</v>
      </c>
      <c r="JD9" s="3554" t="s">
        <v>6286</v>
      </c>
      <c r="JE9" s="3554" t="s">
        <v>6286</v>
      </c>
      <c r="JF9" s="3554" t="s">
        <v>6286</v>
      </c>
      <c r="JG9" s="3554" t="s">
        <v>6286</v>
      </c>
      <c r="JH9" s="3554" t="s">
        <v>6286</v>
      </c>
      <c r="JI9" s="3554" t="s">
        <v>6288</v>
      </c>
      <c r="JJ9" s="3554" t="s">
        <v>6288</v>
      </c>
      <c r="JK9" s="3554" t="s">
        <v>6288</v>
      </c>
      <c r="JL9" s="3554" t="s">
        <v>6288</v>
      </c>
      <c r="JM9" s="3554" t="s">
        <v>6288</v>
      </c>
      <c r="JN9" s="3554" t="s">
        <v>6289</v>
      </c>
      <c r="JO9" s="3554" t="s">
        <v>6289</v>
      </c>
      <c r="JP9" s="3554" t="s">
        <v>6289</v>
      </c>
      <c r="JQ9" s="3554" t="s">
        <v>6289</v>
      </c>
      <c r="JR9" s="3554" t="s">
        <v>6289</v>
      </c>
      <c r="JS9" s="3554" t="s">
        <v>6290</v>
      </c>
      <c r="JT9" s="3554" t="s">
        <v>6290</v>
      </c>
      <c r="JU9" s="3554" t="s">
        <v>6290</v>
      </c>
      <c r="JV9" s="3554" t="s">
        <v>6290</v>
      </c>
      <c r="JW9" s="3554" t="s">
        <v>6290</v>
      </c>
      <c r="JX9" s="3554" t="s">
        <v>6483</v>
      </c>
      <c r="JY9" s="3554" t="s">
        <v>6483</v>
      </c>
      <c r="JZ9" s="3554" t="s">
        <v>6483</v>
      </c>
      <c r="KA9" s="3554" t="s">
        <v>6483</v>
      </c>
      <c r="KB9" s="3554" t="s">
        <v>6483</v>
      </c>
      <c r="KC9" s="3554" t="s">
        <v>6648</v>
      </c>
      <c r="KD9" s="3554" t="s">
        <v>6648</v>
      </c>
      <c r="KE9" s="3554" t="s">
        <v>6648</v>
      </c>
      <c r="KF9" s="3554" t="s">
        <v>6648</v>
      </c>
      <c r="KG9" s="3554" t="s">
        <v>6648</v>
      </c>
      <c r="KH9" s="3554" t="s">
        <v>6649</v>
      </c>
      <c r="KI9" s="3554" t="s">
        <v>6649</v>
      </c>
      <c r="KJ9" s="3554" t="s">
        <v>6649</v>
      </c>
      <c r="KK9" s="3554" t="s">
        <v>6649</v>
      </c>
      <c r="KL9" s="3554" t="s">
        <v>6649</v>
      </c>
      <c r="KM9" s="3554" t="s">
        <v>6292</v>
      </c>
      <c r="KN9" s="3554" t="s">
        <v>6292</v>
      </c>
      <c r="KO9" s="3554" t="s">
        <v>6292</v>
      </c>
      <c r="KP9" s="3554" t="s">
        <v>6292</v>
      </c>
      <c r="KQ9" s="3554" t="s">
        <v>6292</v>
      </c>
      <c r="KR9" s="3554" t="s">
        <v>6484</v>
      </c>
      <c r="KS9" s="3554" t="s">
        <v>6484</v>
      </c>
      <c r="KT9" s="3554" t="s">
        <v>6484</v>
      </c>
      <c r="KU9" s="3554" t="s">
        <v>6484</v>
      </c>
      <c r="KV9" s="3554" t="s">
        <v>6484</v>
      </c>
      <c r="KW9" s="3554" t="s">
        <v>6650</v>
      </c>
      <c r="KX9" s="3554" t="s">
        <v>6650</v>
      </c>
      <c r="KY9" s="3554" t="s">
        <v>6650</v>
      </c>
      <c r="KZ9" s="3554" t="s">
        <v>6650</v>
      </c>
      <c r="LA9" s="3554" t="s">
        <v>6650</v>
      </c>
      <c r="LB9" s="3554" t="s">
        <v>6651</v>
      </c>
      <c r="LC9" s="3554" t="s">
        <v>6651</v>
      </c>
      <c r="LD9" s="3554" t="s">
        <v>6651</v>
      </c>
      <c r="LE9" s="3554" t="s">
        <v>6651</v>
      </c>
      <c r="LF9" s="3554" t="s">
        <v>6651</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3931</v>
      </c>
      <c r="C10" s="686" t="s">
        <v>164</v>
      </c>
      <c r="D10" s="686" t="s">
        <v>166</v>
      </c>
      <c r="E10" s="686" t="s">
        <v>1383</v>
      </c>
      <c r="F10" s="686" t="s">
        <v>1203</v>
      </c>
      <c r="G10" s="3588"/>
      <c r="H10" s="686" t="s">
        <v>6092</v>
      </c>
      <c r="I10" s="3588"/>
      <c r="J10" s="3584"/>
      <c r="K10" s="358" t="s">
        <v>334</v>
      </c>
      <c r="L10" s="686" t="s">
        <v>1432</v>
      </c>
      <c r="M10" s="686" t="s">
        <v>504</v>
      </c>
      <c r="N10" s="686" t="s">
        <v>1382</v>
      </c>
      <c r="O10" s="686" t="s">
        <v>6496</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6</v>
      </c>
      <c r="F18" s="1084">
        <v>826</v>
      </c>
      <c r="G18" s="1084">
        <v>585</v>
      </c>
      <c r="H18" s="1084">
        <v>549</v>
      </c>
      <c r="I18" s="1084">
        <v>0</v>
      </c>
      <c r="J18" s="1100">
        <f>IF(C18="",0,HLOOKUP(C18,'Part IV-Utility Allowances'!$I$11:$M$22,12))</f>
        <v>99</v>
      </c>
      <c r="K18" s="1101"/>
      <c r="L18" s="1102">
        <f t="shared" si="1"/>
        <v>450</v>
      </c>
      <c r="M18" s="1102">
        <f t="shared" si="2"/>
        <v>2700</v>
      </c>
      <c r="N18" s="1103" t="s">
        <v>2652</v>
      </c>
      <c r="O18" s="1685" t="s">
        <v>7090</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4956</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6</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6</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6</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50</v>
      </c>
      <c r="C19" s="132">
        <v>2</v>
      </c>
      <c r="D19" s="1751">
        <v>2</v>
      </c>
      <c r="E19" s="133">
        <v>6</v>
      </c>
      <c r="F19" s="133">
        <v>1060</v>
      </c>
      <c r="G19" s="133">
        <v>701</v>
      </c>
      <c r="H19" s="133">
        <v>687</v>
      </c>
      <c r="I19" s="133">
        <v>0</v>
      </c>
      <c r="J19" s="756">
        <f>IF(C19="",0,HLOOKUP(C19,'Part IV-Utility Allowances'!$I$11:$M$22,12))</f>
        <v>127</v>
      </c>
      <c r="K19" s="644"/>
      <c r="L19" s="461">
        <f t="shared" si="1"/>
        <v>560</v>
      </c>
      <c r="M19" s="461">
        <f t="shared" si="2"/>
        <v>3360</v>
      </c>
      <c r="N19" s="695" t="s">
        <v>2652</v>
      </c>
      <c r="O19" s="1683" t="s">
        <v>7090</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6</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6360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6</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6</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f t="shared" si="265"/>
        <v>6</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6</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60</v>
      </c>
      <c r="C20" s="132">
        <v>1</v>
      </c>
      <c r="D20" s="1751">
        <v>1</v>
      </c>
      <c r="E20" s="133">
        <v>12</v>
      </c>
      <c r="F20" s="133">
        <v>826</v>
      </c>
      <c r="G20" s="133">
        <v>702</v>
      </c>
      <c r="H20" s="133">
        <v>649</v>
      </c>
      <c r="I20" s="133">
        <v>0</v>
      </c>
      <c r="J20" s="756">
        <f>IF(C20="",0,HLOOKUP(C20,'Part IV-Utility Allowances'!$I$11:$M$22,12))</f>
        <v>99</v>
      </c>
      <c r="K20" s="644"/>
      <c r="L20" s="461">
        <f t="shared" si="1"/>
        <v>550</v>
      </c>
      <c r="M20" s="461">
        <f t="shared" si="2"/>
        <v>6600</v>
      </c>
      <c r="N20" s="695" t="s">
        <v>2652</v>
      </c>
      <c r="O20" s="1683" t="s">
        <v>7090</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12</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9912</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f t="shared" si="264"/>
        <v>12</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32">
        <v>2</v>
      </c>
      <c r="D21" s="1751">
        <v>2</v>
      </c>
      <c r="E21" s="133">
        <v>12</v>
      </c>
      <c r="F21" s="133">
        <v>1060</v>
      </c>
      <c r="G21" s="133">
        <v>841</v>
      </c>
      <c r="H21" s="133">
        <v>777</v>
      </c>
      <c r="I21" s="133">
        <v>0</v>
      </c>
      <c r="J21" s="756">
        <f>IF(C21="",0,HLOOKUP(C21,'Part IV-Utility Allowances'!$I$11:$M$22,12))</f>
        <v>127</v>
      </c>
      <c r="K21" s="644"/>
      <c r="L21" s="461">
        <f t="shared" si="1"/>
        <v>650</v>
      </c>
      <c r="M21" s="461">
        <f t="shared" si="2"/>
        <v>7800</v>
      </c>
      <c r="N21" s="695" t="s">
        <v>2652</v>
      </c>
      <c r="O21" s="1683" t="s">
        <v>7090</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12</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12720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12</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12</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12</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70</v>
      </c>
      <c r="C22" s="132">
        <v>1</v>
      </c>
      <c r="D22" s="1751">
        <v>1</v>
      </c>
      <c r="E22" s="133">
        <v>2</v>
      </c>
      <c r="F22" s="133">
        <v>826</v>
      </c>
      <c r="G22" s="133">
        <v>819</v>
      </c>
      <c r="H22" s="133">
        <v>799</v>
      </c>
      <c r="I22" s="133">
        <v>0</v>
      </c>
      <c r="J22" s="756">
        <f>IF(C22="",0,HLOOKUP(C22,'Part IV-Utility Allowances'!$I$11:$M$22,12))</f>
        <v>99</v>
      </c>
      <c r="K22" s="644"/>
      <c r="L22" s="461">
        <f t="shared" si="1"/>
        <v>700</v>
      </c>
      <c r="M22" s="461">
        <f t="shared" si="2"/>
        <v>1400</v>
      </c>
      <c r="N22" s="695" t="s">
        <v>2652</v>
      </c>
      <c r="O22" s="1683" t="s">
        <v>7090</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f t="shared" si="9"/>
        <v>2</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f t="shared" si="124"/>
        <v>1652</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2</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2</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f t="shared" si="264"/>
        <v>2</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2</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70</v>
      </c>
      <c r="C23" s="132">
        <v>2</v>
      </c>
      <c r="D23" s="1751">
        <v>2</v>
      </c>
      <c r="E23" s="133">
        <v>2</v>
      </c>
      <c r="F23" s="133">
        <v>1060</v>
      </c>
      <c r="G23" s="133">
        <v>981</v>
      </c>
      <c r="H23" s="133">
        <v>902</v>
      </c>
      <c r="I23" s="133">
        <v>0</v>
      </c>
      <c r="J23" s="756">
        <f>IF(C23="",0,HLOOKUP(C23,'Part IV-Utility Allowances'!$I$11:$M$22,12))</f>
        <v>127</v>
      </c>
      <c r="K23" s="644"/>
      <c r="L23" s="461">
        <f t="shared" si="1"/>
        <v>775</v>
      </c>
      <c r="M23" s="461">
        <f t="shared" si="2"/>
        <v>1550</v>
      </c>
      <c r="N23" s="695" t="s">
        <v>2652</v>
      </c>
      <c r="O23" s="1683" t="s">
        <v>7090</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f t="shared" si="10"/>
        <v>2</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f t="shared" si="125"/>
        <v>2120</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2</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f t="shared" si="265"/>
        <v>2</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2</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06" t="s">
        <v>3768</v>
      </c>
      <c r="C49" s="3607"/>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37720</v>
      </c>
      <c r="H49" s="3580" t="s">
        <v>3765</v>
      </c>
      <c r="I49" s="1114" t="s">
        <v>3766</v>
      </c>
      <c r="J49" s="1115" t="str">
        <f>IF(P67=0,"",IF(SUM(P58:P62)/P67&gt;=0.4,"Pass","Fail"))</f>
        <v>Pass</v>
      </c>
      <c r="K49" s="448"/>
      <c r="L49" s="699" t="s">
        <v>1225</v>
      </c>
      <c r="M49" s="94">
        <f>SUM(M11:M48)</f>
        <v>23410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2</v>
      </c>
      <c r="AE49" s="1749">
        <f t="shared" si="339"/>
        <v>2</v>
      </c>
      <c r="AF49" s="1749">
        <f t="shared" si="339"/>
        <v>0</v>
      </c>
      <c r="AG49" s="1749">
        <f t="shared" si="339"/>
        <v>0</v>
      </c>
      <c r="AH49" s="1749">
        <f t="shared" si="339"/>
        <v>0</v>
      </c>
      <c r="AI49" s="1749">
        <f t="shared" si="339"/>
        <v>12</v>
      </c>
      <c r="AJ49" s="1749">
        <f t="shared" si="339"/>
        <v>12</v>
      </c>
      <c r="AK49" s="1749">
        <f t="shared" si="339"/>
        <v>0</v>
      </c>
      <c r="AL49" s="1749">
        <f t="shared" si="339"/>
        <v>0</v>
      </c>
      <c r="AM49" s="1749">
        <f>SUM(AM11:AM48)</f>
        <v>0</v>
      </c>
      <c r="AN49" s="1749">
        <f>SUM(AN11:AN48)</f>
        <v>6</v>
      </c>
      <c r="AO49" s="1749">
        <f>SUM(AO11:AO48)</f>
        <v>6</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1652</v>
      </c>
      <c r="EP49" s="1749">
        <f t="shared" si="342"/>
        <v>2120</v>
      </c>
      <c r="EQ49" s="1749">
        <f t="shared" si="342"/>
        <v>0</v>
      </c>
      <c r="ER49" s="1749">
        <f t="shared" si="342"/>
        <v>0</v>
      </c>
      <c r="ES49" s="1749">
        <f t="shared" si="342"/>
        <v>0</v>
      </c>
      <c r="ET49" s="1749">
        <f t="shared" si="342"/>
        <v>9912</v>
      </c>
      <c r="EU49" s="1749">
        <f t="shared" si="342"/>
        <v>12720</v>
      </c>
      <c r="EV49" s="1749">
        <f t="shared" si="342"/>
        <v>0</v>
      </c>
      <c r="EW49" s="1749">
        <f t="shared" si="342"/>
        <v>0</v>
      </c>
      <c r="EX49" s="1749">
        <f t="shared" si="338"/>
        <v>0</v>
      </c>
      <c r="EY49" s="1749">
        <f t="shared" si="338"/>
        <v>4956</v>
      </c>
      <c r="EZ49" s="1749">
        <f t="shared" si="338"/>
        <v>6360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20</v>
      </c>
      <c r="GI49" s="1749">
        <f t="shared" si="343"/>
        <v>20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20</v>
      </c>
      <c r="IB49" s="1749">
        <f t="shared" si="344"/>
        <v>20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20</v>
      </c>
      <c r="JZ49" s="1749">
        <f>SUM(JZ11:JZ48)</f>
        <v>20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20</v>
      </c>
      <c r="MM49" s="1749">
        <f t="shared" si="346"/>
        <v>20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58</v>
      </c>
      <c r="C50" s="3579"/>
      <c r="D50" s="119" t="s">
        <v>3675</v>
      </c>
      <c r="E50" s="1110">
        <f>SUM(E18:E48)</f>
        <v>40</v>
      </c>
      <c r="F50" s="1112">
        <f>(E18*F18+E19*F19+E20*F20+E21*F21+E22*F22+E23*F23+E24*F24+E25*F25+E26*F26+E27*F27+E28*F28+E29*F29+E30*F30+E31*F31+E32*F32+E33*F33+E34*F34+E35*F35+E36*F36+E37*F37+E38*F38+E39*F39+E40*F40+E41*F41+E42*F42+E43*F43+E44*F44+E45*F45+E46*F46+E47*F47+E48*F48)</f>
        <v>37720</v>
      </c>
      <c r="H50" s="3581"/>
      <c r="I50" s="1116" t="s">
        <v>3767</v>
      </c>
      <c r="J50" s="1117" t="str">
        <f>IF(P67=0,"",IF(SUM(P59:P62)/P67&gt;=0.2,"Pass","Fail"))</f>
        <v>Pass</v>
      </c>
      <c r="K50" s="448"/>
      <c r="L50" s="107" t="s">
        <v>757</v>
      </c>
      <c r="M50" s="94">
        <f>M49*12</f>
        <v>280920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7" t="s">
        <v>3812</v>
      </c>
      <c r="P53" s="3568"/>
      <c r="S53" s="3595" t="str">
        <f>B53</f>
        <v>UNIT SUMMARY</v>
      </c>
      <c r="T53" s="3595"/>
      <c r="U53" s="3595"/>
      <c r="V53" s="3595"/>
      <c r="AY53" s="359"/>
      <c r="BD53" s="359"/>
      <c r="LO53" s="361"/>
      <c r="MD53" s="357"/>
    </row>
    <row r="54" spans="1:381" ht="14.25" customHeight="1">
      <c r="A54" s="10"/>
      <c r="B54" s="10"/>
      <c r="K54" s="144" t="s">
        <v>6643</v>
      </c>
      <c r="O54" s="3565" t="s">
        <v>7053</v>
      </c>
      <c r="P54" s="3566"/>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4075</v>
      </c>
      <c r="B56" s="3659"/>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5" t="s">
        <v>3184</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3677</v>
      </c>
      <c r="I57" s="29"/>
      <c r="J57" s="62"/>
      <c r="K57" s="1127">
        <f>AC49</f>
        <v>0</v>
      </c>
      <c r="L57" s="1128">
        <f>AD49</f>
        <v>2</v>
      </c>
      <c r="M57" s="1128">
        <f>AE49</f>
        <v>2</v>
      </c>
      <c r="N57" s="1128">
        <f>AF49</f>
        <v>0</v>
      </c>
      <c r="O57" s="1129">
        <f>AG49</f>
        <v>0</v>
      </c>
      <c r="P57" s="745">
        <f t="shared" si="347"/>
        <v>4</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12</v>
      </c>
      <c r="M58" s="1128">
        <f>AJ49</f>
        <v>12</v>
      </c>
      <c r="N58" s="1128">
        <f>AK49</f>
        <v>0</v>
      </c>
      <c r="O58" s="1129">
        <f>AL49</f>
        <v>0</v>
      </c>
      <c r="P58" s="745">
        <f t="shared" si="347"/>
        <v>24</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6</v>
      </c>
      <c r="M59" s="1149">
        <f>AO49</f>
        <v>6</v>
      </c>
      <c r="N59" s="1149">
        <f>AP49</f>
        <v>0</v>
      </c>
      <c r="O59" s="1150">
        <f>AQ49</f>
        <v>0</v>
      </c>
      <c r="P59" s="466">
        <f t="shared" si="347"/>
        <v>12</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3678</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3679</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3680</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3762</v>
      </c>
      <c r="D63" s="1"/>
      <c r="E63" s="1"/>
      <c r="F63" s="1"/>
      <c r="G63" s="62"/>
      <c r="H63" s="68"/>
      <c r="I63" s="44"/>
      <c r="J63" s="62"/>
      <c r="K63" s="1092">
        <f>SUM(K56:K62)</f>
        <v>0</v>
      </c>
      <c r="L63" s="1092">
        <f>SUM(L56:L62)</f>
        <v>20</v>
      </c>
      <c r="M63" s="1092">
        <f>SUM(M56:M62)</f>
        <v>20</v>
      </c>
      <c r="N63" s="1092">
        <f>SUM(N56:N62)</f>
        <v>0</v>
      </c>
      <c r="O63" s="1092">
        <f>SUM(O56:O62)</f>
        <v>0</v>
      </c>
      <c r="P63" s="1092">
        <f t="shared" si="347"/>
        <v>40</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20</v>
      </c>
      <c r="M65" s="1099">
        <f>SUM(M63:M64)</f>
        <v>20</v>
      </c>
      <c r="N65" s="1099">
        <f>SUM(N63:N64)</f>
        <v>0</v>
      </c>
      <c r="O65" s="1099">
        <f>SUM(O63:O64)</f>
        <v>0</v>
      </c>
      <c r="P65" s="1099">
        <f t="shared" si="347"/>
        <v>40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20</v>
      </c>
      <c r="M67" s="1091">
        <f>SUM(M65:M66)</f>
        <v>20</v>
      </c>
      <c r="N67" s="1091">
        <f>SUM(N65:N66)</f>
        <v>0</v>
      </c>
      <c r="O67" s="1091">
        <f>SUM(O65:O66)</f>
        <v>0</v>
      </c>
      <c r="P67" s="1091">
        <f t="shared" si="347"/>
        <v>40</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3771</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75">
      <c r="A71" s="3659"/>
      <c r="B71" s="3659"/>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75">
      <c r="A72" s="3659"/>
      <c r="B72" s="3659"/>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4068</v>
      </c>
      <c r="E73" s="3555"/>
      <c r="F73" s="3555"/>
      <c r="G73" s="6"/>
      <c r="H73" s="81" t="s">
        <v>3677</v>
      </c>
      <c r="I73" s="29"/>
      <c r="J73" s="1"/>
      <c r="K73" s="1436" t="str">
        <f t="shared" ref="K73:P73" si="350">IF(OR(K57=0,K67=0),"",K57/K67)</f>
        <v/>
      </c>
      <c r="L73" s="1437">
        <f t="shared" si="350"/>
        <v>0.1</v>
      </c>
      <c r="M73" s="1437">
        <f t="shared" si="350"/>
        <v>0.1</v>
      </c>
      <c r="N73" s="1437" t="str">
        <f t="shared" si="350"/>
        <v/>
      </c>
      <c r="O73" s="1437" t="str">
        <f t="shared" si="350"/>
        <v/>
      </c>
      <c r="P73" s="1438">
        <f t="shared" si="350"/>
        <v>0.1</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75">
      <c r="C74" s="667"/>
      <c r="D74" s="3555"/>
      <c r="E74" s="3555"/>
      <c r="F74" s="3555"/>
      <c r="G74" s="6"/>
      <c r="H74" s="81" t="s">
        <v>6486</v>
      </c>
      <c r="I74" s="29"/>
      <c r="J74" s="1"/>
      <c r="K74" s="1509" t="str">
        <f>IF(OR(K57=0,P73="",K67=0),"",P73*K67)</f>
        <v/>
      </c>
      <c r="L74" s="1509">
        <f>IF(OR(L57=0,P73="",L67=0),"",P73*L67)</f>
        <v>2</v>
      </c>
      <c r="M74" s="1509">
        <f>IF(OR(M57=0,P73="",M67=0),"",P73*M67)</f>
        <v>2</v>
      </c>
      <c r="N74" s="1509" t="str">
        <f>IF(OR(N57=0,P73="",N67=0),"",P73*N67)</f>
        <v/>
      </c>
      <c r="O74" s="1509" t="str">
        <f>IF(OR(O57=0,P73="",O67=0),"",P73*O67)</f>
        <v/>
      </c>
      <c r="P74" s="1510">
        <f>IF(OR(P73="",P67=0),"",P73*P67)</f>
        <v>4</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75">
      <c r="C75" s="667"/>
      <c r="D75" s="3555"/>
      <c r="E75" s="3555"/>
      <c r="F75" s="3555"/>
      <c r="G75" s="1504"/>
      <c r="H75" s="1441" t="s">
        <v>6487</v>
      </c>
      <c r="I75" s="1409"/>
      <c r="J75" s="1"/>
      <c r="K75" s="1511" t="str">
        <f t="shared" ref="K75:P75" si="351">IF(OR(K74="",K57=0),"", K57-K74)</f>
        <v/>
      </c>
      <c r="L75" s="1511">
        <f t="shared" si="351"/>
        <v>0</v>
      </c>
      <c r="M75" s="1511">
        <f t="shared" si="351"/>
        <v>0</v>
      </c>
      <c r="N75" s="1511" t="str">
        <f t="shared" si="351"/>
        <v/>
      </c>
      <c r="O75" s="1511" t="str">
        <f t="shared" si="351"/>
        <v/>
      </c>
      <c r="P75" s="1511">
        <f t="shared" si="351"/>
        <v>0</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5"/>
      <c r="E76" s="3555"/>
      <c r="F76" s="3555"/>
      <c r="G76" s="6"/>
      <c r="H76" s="81" t="s">
        <v>1081</v>
      </c>
      <c r="I76" s="29"/>
      <c r="J76" s="1"/>
      <c r="K76" s="1436" t="str">
        <f t="shared" ref="K76:P76" si="352">IF(OR(K58=0,K67=0),"",K58/K67)</f>
        <v/>
      </c>
      <c r="L76" s="1437">
        <f t="shared" si="352"/>
        <v>0.6</v>
      </c>
      <c r="M76" s="1437">
        <f t="shared" si="352"/>
        <v>0.6</v>
      </c>
      <c r="N76" s="1437" t="str">
        <f t="shared" si="352"/>
        <v/>
      </c>
      <c r="O76" s="1437" t="str">
        <f t="shared" si="352"/>
        <v/>
      </c>
      <c r="P76" s="1438">
        <f t="shared" si="352"/>
        <v>0.6</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6486</v>
      </c>
      <c r="I77" s="29"/>
      <c r="J77" s="1"/>
      <c r="K77" s="1509" t="str">
        <f>IF(OR(K58=0,P76="",K67=0),"",P76*K67)</f>
        <v/>
      </c>
      <c r="L77" s="1509">
        <f>IF(OR(L58=0,P76="",L67=0),"",P76*L67)</f>
        <v>12</v>
      </c>
      <c r="M77" s="1509">
        <f>IF(OR(M58=0,P76="",M67=0),"",P76*M67)</f>
        <v>12</v>
      </c>
      <c r="N77" s="1509" t="str">
        <f>IF(OR(N58=0,P76="",N67=0),"",P76*N67)</f>
        <v/>
      </c>
      <c r="O77" s="1509" t="str">
        <f>IF(OR(O58=0,P76="",O67=0),"",P76*O67)</f>
        <v/>
      </c>
      <c r="P77" s="1510">
        <f>IF(OR(P76="",P67=0),"",P76*P67)</f>
        <v>24</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6487</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0.3</v>
      </c>
      <c r="M79" s="1437">
        <f t="shared" si="354"/>
        <v>0.3</v>
      </c>
      <c r="N79" s="1437" t="str">
        <f t="shared" si="354"/>
        <v/>
      </c>
      <c r="O79" s="1437" t="str">
        <f t="shared" si="354"/>
        <v/>
      </c>
      <c r="P79" s="1438">
        <f t="shared" si="354"/>
        <v>0.3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6</v>
      </c>
      <c r="M80" s="1509">
        <f>IF(OR(M59=0,P79="",M67=0),"",P79*M67)</f>
        <v>6</v>
      </c>
      <c r="N80" s="1509" t="str">
        <f>IF(OR(N59=0,P79="",N67=0),"",P79*N67)</f>
        <v/>
      </c>
      <c r="O80" s="1509" t="str">
        <f>IF(OR(O59=0,P79="",O67=0),"",P79*O67)</f>
        <v/>
      </c>
      <c r="P80" s="1510">
        <f>IF(OR(P79="",P67=0),"",P79*P67)</f>
        <v>12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v>
      </c>
      <c r="M81" s="1511">
        <f t="shared" si="355"/>
        <v>0</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6" t="str">
        <f>$O$53</f>
        <v>Income Averaging</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20</v>
      </c>
      <c r="M113" s="1125">
        <f>GI49</f>
        <v>20</v>
      </c>
      <c r="N113" s="1125">
        <f>GJ49</f>
        <v>0</v>
      </c>
      <c r="O113" s="1126">
        <f>GK49</f>
        <v>0</v>
      </c>
      <c r="P113" s="749">
        <f t="shared" ref="P113:P123" si="364">SUM(K113:O113)</f>
        <v>40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20</v>
      </c>
      <c r="M115" s="1093">
        <f>SUM(M113:M114)+GS49</f>
        <v>20</v>
      </c>
      <c r="N115" s="1093">
        <f>SUM(N113:N114)+GT49</f>
        <v>0</v>
      </c>
      <c r="O115" s="1093">
        <f>SUM(O113:O114)+GU49</f>
        <v>0</v>
      </c>
      <c r="P115" s="1093">
        <f t="shared" si="364"/>
        <v>40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6491</v>
      </c>
      <c r="D127" s="3557"/>
      <c r="E127" s="908" t="s">
        <v>36</v>
      </c>
      <c r="F127" s="767"/>
      <c r="G127" s="909"/>
      <c r="H127" s="1442"/>
      <c r="I127" s="910"/>
      <c r="J127" s="911"/>
      <c r="K127" s="1145">
        <f t="shared" ref="K127:P127" si="365">SUM(K128:K135)</f>
        <v>0</v>
      </c>
      <c r="L127" s="1146">
        <f t="shared" si="365"/>
        <v>20</v>
      </c>
      <c r="M127" s="1146">
        <f t="shared" si="365"/>
        <v>20</v>
      </c>
      <c r="N127" s="1146">
        <f t="shared" si="365"/>
        <v>0</v>
      </c>
      <c r="O127" s="1147">
        <f t="shared" si="365"/>
        <v>0</v>
      </c>
      <c r="P127" s="1096">
        <f t="shared" si="365"/>
        <v>40</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6478</v>
      </c>
      <c r="I130" s="33"/>
      <c r="J130" s="912"/>
      <c r="K130" s="1127">
        <f>JX49</f>
        <v>0</v>
      </c>
      <c r="L130" s="1128">
        <f>JY49</f>
        <v>20</v>
      </c>
      <c r="M130" s="1128">
        <f>JZ49</f>
        <v>20</v>
      </c>
      <c r="N130" s="1128">
        <f>KA49</f>
        <v>0</v>
      </c>
      <c r="O130" s="1129">
        <f>KB49</f>
        <v>0</v>
      </c>
      <c r="P130" s="745">
        <f t="shared" ref="P130:P135" si="367">SUM(K130:O130)</f>
        <v>40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6" t="str">
        <f>$O$53</f>
        <v>Income Averaging</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6492</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20</v>
      </c>
      <c r="M153" s="1161">
        <f t="shared" si="371"/>
        <v>20</v>
      </c>
      <c r="N153" s="1161">
        <f t="shared" si="371"/>
        <v>0</v>
      </c>
      <c r="O153" s="1162">
        <f t="shared" si="371"/>
        <v>0</v>
      </c>
      <c r="P153" s="1688">
        <f t="shared" si="369"/>
        <v>40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3890</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1652</v>
      </c>
      <c r="M158" s="1164">
        <f>EP49</f>
        <v>2120</v>
      </c>
      <c r="N158" s="1164">
        <f>EQ49</f>
        <v>0</v>
      </c>
      <c r="O158" s="1165">
        <f>ER49</f>
        <v>0</v>
      </c>
      <c r="P158" s="1088">
        <f t="shared" si="372"/>
        <v>3772</v>
      </c>
      <c r="Q158" s="1291">
        <f t="shared" si="373"/>
        <v>943</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9912</v>
      </c>
      <c r="M159" s="1164">
        <f>EU49</f>
        <v>12720</v>
      </c>
      <c r="N159" s="1164">
        <f>EV49</f>
        <v>0</v>
      </c>
      <c r="O159" s="1165">
        <f>EW49</f>
        <v>0</v>
      </c>
      <c r="P159" s="1088">
        <f t="shared" si="372"/>
        <v>22632</v>
      </c>
      <c r="Q159" s="1291">
        <f t="shared" si="373"/>
        <v>943</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4956</v>
      </c>
      <c r="M160" s="1224">
        <f>EZ49</f>
        <v>6360</v>
      </c>
      <c r="N160" s="1224">
        <f>FA49</f>
        <v>0</v>
      </c>
      <c r="O160" s="1225">
        <f>FB49</f>
        <v>0</v>
      </c>
      <c r="P160" s="1226">
        <f t="shared" si="372"/>
        <v>11316</v>
      </c>
      <c r="Q160" s="1291">
        <f t="shared" si="373"/>
        <v>943</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16520</v>
      </c>
      <c r="M164" s="1690">
        <f>SUM(M157:M163)</f>
        <v>21200</v>
      </c>
      <c r="N164" s="1690">
        <f>SUM(N157:N163)</f>
        <v>0</v>
      </c>
      <c r="O164" s="1690">
        <f>SUM(O157:O163)</f>
        <v>0</v>
      </c>
      <c r="P164" s="1690">
        <f>SUM(K164:O164)</f>
        <v>37720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16520</v>
      </c>
      <c r="M166" s="1689">
        <f>SUM(M164:M165)</f>
        <v>21200</v>
      </c>
      <c r="N166" s="1689">
        <f>SUM(N164:N165)</f>
        <v>0</v>
      </c>
      <c r="O166" s="1689">
        <f>SUM(O164:O165)</f>
        <v>0</v>
      </c>
      <c r="P166" s="1689">
        <f>SUM(K166:O166)</f>
        <v>37720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16520</v>
      </c>
      <c r="M168" s="1094">
        <f>SUM(M166:M167)</f>
        <v>21200</v>
      </c>
      <c r="N168" s="1094">
        <f>SUM(N166:N167)</f>
        <v>0</v>
      </c>
      <c r="O168" s="1094">
        <f>SUM(O166:O167)</f>
        <v>0</v>
      </c>
      <c r="P168" s="1094">
        <f>SUM(K168:O168)</f>
        <v>37720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826</v>
      </c>
      <c r="M171" s="1290">
        <f>IF(OR(M67="",M67=0),"",M168/M67)</f>
        <v>1060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4">
        <v>18366</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56086</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5618.4000000000005</v>
      </c>
      <c r="I179" s="3553"/>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18654</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20000</v>
      </c>
      <c r="G221" s="3625"/>
      <c r="H221" s="1"/>
      <c r="I221" s="1" t="s">
        <v>1300</v>
      </c>
      <c r="K221" s="1"/>
      <c r="L221" s="3624"/>
      <c r="M221" s="3625"/>
      <c r="N221" s="1"/>
      <c r="O221" s="319">
        <f>+Q220/(P67*0.93)</f>
        <v>501.45161290322579</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15000</v>
      </c>
      <c r="G222" s="3600"/>
      <c r="H222" s="1"/>
      <c r="I222" s="1" t="s">
        <v>1301</v>
      </c>
      <c r="K222" s="1"/>
      <c r="L222" s="3627">
        <v>720</v>
      </c>
      <c r="M222" s="3628"/>
      <c r="N222" s="1"/>
      <c r="O222" s="319">
        <f>+Q220/(P67*0.93)/12</f>
        <v>41.787634408602152</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3000</v>
      </c>
      <c r="G223" s="3600"/>
      <c r="H223" s="1"/>
      <c r="I223" s="1"/>
      <c r="K223" s="8" t="s">
        <v>184</v>
      </c>
      <c r="L223" s="3631">
        <f>SUM(L221:M222)</f>
        <v>720</v>
      </c>
      <c r="M223" s="3632"/>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38000</v>
      </c>
      <c r="G227" s="3632"/>
      <c r="H227" s="1"/>
      <c r="I227" s="1" t="s">
        <v>1497</v>
      </c>
      <c r="K227" s="1"/>
      <c r="L227" s="3611">
        <v>600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8000</v>
      </c>
      <c r="M228" s="3614"/>
      <c r="N228" s="3626" t="str">
        <f>IF(Q230="","",IF(Q228&lt;Q230, "WARNING! OE below required minimum.",""))</f>
        <v/>
      </c>
      <c r="O228" s="4" t="s">
        <v>2029</v>
      </c>
      <c r="P228" s="1"/>
      <c r="Q228" s="326">
        <f>F227+F236+F247+L223+L231+L241+L247+Q220</f>
        <v>181214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3000</v>
      </c>
      <c r="M229" s="3614"/>
      <c r="N229" s="3626"/>
      <c r="O229" s="42" t="s">
        <v>2486</v>
      </c>
      <c r="P229" s="319">
        <f>+Q228/P67</f>
        <v>4530.3500000000004</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800</v>
      </c>
      <c r="G230" s="3625"/>
      <c r="H230" s="1"/>
      <c r="I230" s="3617" t="s">
        <v>7097</v>
      </c>
      <c r="J230" s="3618"/>
      <c r="K230" s="3619"/>
      <c r="L230" s="3629">
        <v>2000</v>
      </c>
      <c r="M230" s="3630"/>
      <c r="N230" s="3626"/>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180000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3000</v>
      </c>
      <c r="G231" s="3600"/>
      <c r="H231" s="1"/>
      <c r="I231" s="4"/>
      <c r="K231" s="8" t="s">
        <v>184</v>
      </c>
      <c r="L231" s="3633">
        <f>SUM(L227:L230)</f>
        <v>13600</v>
      </c>
      <c r="M231" s="3634"/>
      <c r="N231" s="3626"/>
      <c r="O231" s="3639" t="s">
        <v>6724</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3600</v>
      </c>
      <c r="G234" s="3600"/>
      <c r="H234" s="1"/>
      <c r="I234" s="4" t="s">
        <v>1297</v>
      </c>
      <c r="K234" s="248" t="s">
        <v>3883</v>
      </c>
      <c r="O234" s="1312" t="s">
        <v>3085</v>
      </c>
      <c r="P234" s="4"/>
      <c r="Q234" s="917">
        <f>Q243</f>
        <v>10000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10</v>
      </c>
      <c r="L235" s="3611">
        <v>4800</v>
      </c>
      <c r="M235" s="3612"/>
      <c r="N235" s="3626"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7400</v>
      </c>
      <c r="G236" s="3632"/>
      <c r="H236" s="1"/>
      <c r="I236" s="1" t="s">
        <v>1291</v>
      </c>
      <c r="K236" s="365">
        <f>L236/12/P67</f>
        <v>0</v>
      </c>
      <c r="L236" s="3613"/>
      <c r="M236" s="3614"/>
      <c r="N236" s="3643"/>
      <c r="O236" s="3644" t="s">
        <v>3229</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6.25</v>
      </c>
      <c r="L237" s="3613">
        <v>3000</v>
      </c>
      <c r="M237" s="3614"/>
      <c r="N237" s="3643"/>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16.666666666666664</v>
      </c>
      <c r="L238" s="3613">
        <v>8000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1330</v>
      </c>
      <c r="G239" s="3648"/>
      <c r="H239" s="1"/>
      <c r="I239" s="72" t="s">
        <v>6681</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3200</v>
      </c>
      <c r="G240" s="3636"/>
      <c r="H240" s="1"/>
      <c r="I240" s="3620" t="s">
        <v>46</v>
      </c>
      <c r="J240" s="3621"/>
      <c r="K240" s="365">
        <f>L240/12/P67</f>
        <v>0</v>
      </c>
      <c r="L240" s="3629"/>
      <c r="M240" s="3630"/>
      <c r="N240" s="3643"/>
      <c r="O240" s="387" t="s">
        <v>3051</v>
      </c>
      <c r="P240" s="673" t="str">
        <f>CONCATENATE(SUM(MK49:MO49)," units x $",'DCA Underwriting Assumptions'!$Q$29," =")</f>
        <v>40 units x $250 =</v>
      </c>
      <c r="Q240" s="501">
        <f>SUM(MK49:MO49)*'DCA Underwriting Assumptions'!$Q$29</f>
        <v>10000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12000</v>
      </c>
      <c r="G241" s="3636"/>
      <c r="H241" s="1"/>
      <c r="K241" s="8" t="s">
        <v>184</v>
      </c>
      <c r="L241" s="3633">
        <f>SUM(L235:L240)</f>
        <v>15800</v>
      </c>
      <c r="M241" s="3634"/>
      <c r="N241" s="3643"/>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2160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6200</v>
      </c>
      <c r="G243" s="3600"/>
      <c r="H243" s="1"/>
      <c r="I243" s="4" t="s">
        <v>1298</v>
      </c>
      <c r="O243" s="769" t="s">
        <v>2467</v>
      </c>
      <c r="P243" s="770">
        <f>SUM(MF49:MJ49)+SUM(MK49:MO49)+SUM(MP49:MT49)+P125</f>
        <v>40</v>
      </c>
      <c r="Q243" s="771">
        <f>SUM(Q239:Q242)</f>
        <v>10000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5000</v>
      </c>
      <c r="G244" s="3600"/>
      <c r="H244" s="1"/>
      <c r="I244" s="72" t="s">
        <v>3929</v>
      </c>
      <c r="K244" s="1"/>
      <c r="L244" s="3611">
        <v>27150</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c r="G245" s="3600"/>
      <c r="H245" s="1"/>
      <c r="I245" s="1" t="s">
        <v>140</v>
      </c>
      <c r="K245" s="1"/>
      <c r="L245" s="3613">
        <v>30000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29890</v>
      </c>
      <c r="G247" s="3642"/>
      <c r="H247" s="1"/>
      <c r="K247" s="8" t="s">
        <v>184</v>
      </c>
      <c r="L247" s="3633">
        <f>SUM(L243:L246)</f>
        <v>57150</v>
      </c>
      <c r="M247" s="3640"/>
      <c r="N247" s="1"/>
      <c r="O247" s="4" t="s">
        <v>2030</v>
      </c>
      <c r="P247" s="1"/>
      <c r="Q247" s="326">
        <f>Q228+Q234</f>
        <v>191214</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69"/>
      <c r="L251" s="3570"/>
      <c r="M251" s="1284" t="s">
        <v>3900</v>
      </c>
      <c r="N251" s="1222"/>
      <c r="O251" s="4" t="s">
        <v>3875</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8" t="s">
        <v>7101</v>
      </c>
      <c r="B256" s="3638"/>
      <c r="C256" s="3638"/>
      <c r="D256" s="3638"/>
      <c r="E256" s="3638"/>
      <c r="F256" s="3638"/>
      <c r="G256" s="3638"/>
      <c r="H256" s="3638"/>
      <c r="I256" s="3638"/>
      <c r="J256" s="3638"/>
      <c r="K256" s="3638"/>
      <c r="L256" s="3638"/>
      <c r="M256" s="3638"/>
      <c r="N256" s="3637"/>
      <c r="O256" s="3637"/>
      <c r="P256" s="3637"/>
      <c r="Q256" s="3637"/>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1" sqref="A141"/>
    </sheetView>
  </sheetViews>
  <sheetFormatPr defaultColWidth="8.73046875" defaultRowHeight="13.15"/>
  <cols>
    <col min="1" max="1" width="22.265625" style="6" customWidth="1"/>
    <col min="2" max="11" width="12" style="6" customWidth="1"/>
    <col min="12" max="13" width="2.265625" style="6" customWidth="1"/>
    <col min="14" max="14" width="19.265625" style="6" customWidth="1"/>
    <col min="15" max="15" width="83" style="6" customWidth="1"/>
    <col min="16" max="16" width="8.73046875" style="6"/>
    <col min="17" max="17" width="5.265625" style="6" customWidth="1"/>
    <col min="18" max="18" width="12.265625" style="6" customWidth="1"/>
    <col min="19" max="19" width="12.3984375" style="6" customWidth="1"/>
    <col min="20" max="25" width="8.73046875" style="6"/>
    <col min="26" max="26" width="10.73046875" style="1719" bestFit="1" customWidth="1"/>
    <col min="27" max="27" width="8.73046875" style="1721"/>
    <col min="28" max="16384" width="8.730468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Dogwood Trail Apartments II, Albany, Dougherty County</v>
      </c>
      <c r="B2" s="3672"/>
      <c r="C2" s="3672"/>
      <c r="D2" s="3672"/>
      <c r="E2" s="3672"/>
      <c r="F2" s="3672"/>
      <c r="G2" s="3672"/>
      <c r="H2" s="3672"/>
      <c r="I2" s="3672"/>
      <c r="J2" s="3672"/>
      <c r="K2" s="3673"/>
      <c r="L2" s="4"/>
      <c r="M2" s="4"/>
      <c r="N2" s="3674" t="str">
        <f>A2</f>
        <v>PART SIX - OPERATING PRO FORMA  -  2023-0 Dogwood Trail Apartments II, Albany, Dougherty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3402</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3403</v>
      </c>
      <c r="E6" s="3558"/>
      <c r="F6" s="3558"/>
      <c r="G6" s="59">
        <v>6000</v>
      </c>
      <c r="H6" s="75" t="s">
        <v>1768</v>
      </c>
      <c r="K6" s="80">
        <f>IF(($B$15+$B$16+$B$17+$B$18)=0,"",B31/($B$15+$B$16+$B$17+$B$18))</f>
        <v>-2.2515700873690252E-2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7.0001314016302982E-2</v>
      </c>
      <c r="N8" s="3559"/>
      <c r="O8" s="3561"/>
      <c r="AA8" s="1721">
        <v>8</v>
      </c>
    </row>
    <row r="9" spans="1:27" ht="13.35" customHeight="1">
      <c r="A9" s="6" t="s">
        <v>2033</v>
      </c>
      <c r="B9" s="186">
        <v>7.0000000000000007E-2</v>
      </c>
      <c r="C9" s="1213" t="str">
        <f>IF(B9&lt;0.07, "Must be &gt;= 7%!","")</f>
        <v/>
      </c>
      <c r="D9" s="1" t="s">
        <v>2307</v>
      </c>
      <c r="G9" s="1228" t="s">
        <v>2649</v>
      </c>
      <c r="H9" s="140" t="s">
        <v>1355</v>
      </c>
      <c r="K9" s="1230">
        <v>18654</v>
      </c>
      <c r="N9" s="3559"/>
      <c r="O9" s="3561"/>
      <c r="AA9" s="1721">
        <v>9</v>
      </c>
    </row>
    <row r="10" spans="1:27">
      <c r="A10" s="6" t="s">
        <v>1336</v>
      </c>
      <c r="B10" s="58">
        <v>0.02</v>
      </c>
      <c r="D10" s="1" t="s">
        <v>1597</v>
      </c>
      <c r="G10" s="1229"/>
      <c r="H10" s="140" t="s">
        <v>2174</v>
      </c>
      <c r="K10" s="1231"/>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280920</v>
      </c>
      <c r="C15" s="15">
        <f t="shared" ref="C15:K15" si="1">$B$15*(1+$B$6)^(C14-1)</f>
        <v>286538.40000000002</v>
      </c>
      <c r="D15" s="15">
        <f t="shared" si="1"/>
        <v>292269.16800000001</v>
      </c>
      <c r="E15" s="15">
        <f t="shared" si="1"/>
        <v>298114.55135999998</v>
      </c>
      <c r="F15" s="15">
        <f t="shared" si="1"/>
        <v>304076.84238719998</v>
      </c>
      <c r="G15" s="15">
        <f t="shared" si="1"/>
        <v>310158.379234944</v>
      </c>
      <c r="H15" s="15">
        <f t="shared" si="1"/>
        <v>316361.54681964288</v>
      </c>
      <c r="I15" s="15">
        <f t="shared" si="1"/>
        <v>322688.77775603568</v>
      </c>
      <c r="J15" s="15">
        <f t="shared" si="1"/>
        <v>329142.55331115646</v>
      </c>
      <c r="K15" s="16">
        <f t="shared" si="1"/>
        <v>335725.40437737957</v>
      </c>
      <c r="N15" s="3562"/>
      <c r="O15" s="3564"/>
      <c r="S15" s="3667" t="s">
        <v>3408</v>
      </c>
      <c r="Z15" s="1719" t="s">
        <v>6460</v>
      </c>
      <c r="AA15" s="1721">
        <v>15</v>
      </c>
    </row>
    <row r="16" spans="1:27" ht="13.35" customHeight="1">
      <c r="A16" s="17" t="s">
        <v>952</v>
      </c>
      <c r="B16" s="18">
        <f>MIN(B15*B10,'Part V-Revenues &amp; Expenses'!$H$179)</f>
        <v>5618.4000000000005</v>
      </c>
      <c r="C16" s="18">
        <f t="shared" ref="C16:K16" si="2">$B$16*(1+$B$6)^(C14-1)</f>
        <v>5730.7680000000009</v>
      </c>
      <c r="D16" s="18">
        <f t="shared" si="2"/>
        <v>5845.3833600000007</v>
      </c>
      <c r="E16" s="18">
        <f t="shared" si="2"/>
        <v>5962.2910271999999</v>
      </c>
      <c r="F16" s="18">
        <f t="shared" si="2"/>
        <v>6081.5368477440006</v>
      </c>
      <c r="G16" s="18">
        <f t="shared" si="2"/>
        <v>6203.167584698881</v>
      </c>
      <c r="H16" s="18">
        <f t="shared" si="2"/>
        <v>6327.2309363928589</v>
      </c>
      <c r="I16" s="18">
        <f t="shared" si="2"/>
        <v>6453.7755551207147</v>
      </c>
      <c r="J16" s="18">
        <f t="shared" si="2"/>
        <v>6582.8510662231292</v>
      </c>
      <c r="K16" s="19">
        <f t="shared" si="2"/>
        <v>6714.5080875475915</v>
      </c>
      <c r="N16" s="3559"/>
      <c r="O16" s="3561"/>
      <c r="S16" s="3668"/>
      <c r="Z16" s="1719" t="s">
        <v>6460</v>
      </c>
      <c r="AA16" s="1721">
        <v>16</v>
      </c>
    </row>
    <row r="17" spans="1:27" ht="13.35" customHeight="1">
      <c r="A17" s="17" t="s">
        <v>2216</v>
      </c>
      <c r="B17" s="18">
        <f t="shared" ref="B17:K17" si="3">-(B15+B16)*$B$9</f>
        <v>-20057.688000000002</v>
      </c>
      <c r="C17" s="18">
        <f t="shared" si="3"/>
        <v>-20458.841760000003</v>
      </c>
      <c r="D17" s="18">
        <f t="shared" si="3"/>
        <v>-20868.018595199999</v>
      </c>
      <c r="E17" s="18">
        <f t="shared" si="3"/>
        <v>-21285.378967103999</v>
      </c>
      <c r="F17" s="18">
        <f t="shared" si="3"/>
        <v>-21711.086546446084</v>
      </c>
      <c r="G17" s="18">
        <f t="shared" si="3"/>
        <v>-22145.308277375003</v>
      </c>
      <c r="H17" s="18">
        <f t="shared" si="3"/>
        <v>-22588.214442922505</v>
      </c>
      <c r="I17" s="18">
        <f t="shared" si="3"/>
        <v>-23039.97873178095</v>
      </c>
      <c r="J17" s="18">
        <f t="shared" si="3"/>
        <v>-23500.778306416571</v>
      </c>
      <c r="K17" s="19">
        <f t="shared" si="3"/>
        <v>-23970.793872544906</v>
      </c>
      <c r="N17" s="3559"/>
      <c r="O17" s="3561"/>
      <c r="Q17" s="3670" t="s">
        <v>3298</v>
      </c>
      <c r="R17" s="3670" t="s">
        <v>3407</v>
      </c>
      <c r="S17" s="366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266480.712</v>
      </c>
      <c r="C20" s="18">
        <f t="shared" ref="C20:K20" si="4">SUM(C15:C19)</f>
        <v>271810.32624000002</v>
      </c>
      <c r="D20" s="18">
        <f t="shared" si="4"/>
        <v>277246.53276480001</v>
      </c>
      <c r="E20" s="18">
        <f t="shared" si="4"/>
        <v>282791.46342009597</v>
      </c>
      <c r="F20" s="18">
        <f t="shared" si="4"/>
        <v>288447.29268849792</v>
      </c>
      <c r="G20" s="18">
        <f t="shared" si="4"/>
        <v>294216.23854226788</v>
      </c>
      <c r="H20" s="18">
        <f t="shared" si="4"/>
        <v>300100.56331311323</v>
      </c>
      <c r="I20" s="18">
        <f t="shared" si="4"/>
        <v>306102.57457937545</v>
      </c>
      <c r="J20" s="18">
        <f t="shared" si="4"/>
        <v>312224.62607096299</v>
      </c>
      <c r="K20" s="19">
        <f t="shared" si="4"/>
        <v>318469.11859238229</v>
      </c>
      <c r="N20" s="3559"/>
      <c r="O20" s="3561"/>
      <c r="Z20" s="1719" t="s">
        <v>6460</v>
      </c>
      <c r="AA20" s="1721">
        <v>20</v>
      </c>
    </row>
    <row r="21" spans="1:27" ht="13.35" customHeight="1">
      <c r="A21" s="17" t="s">
        <v>572</v>
      </c>
      <c r="B21" s="18">
        <f>-('Part V-Revenues &amp; Expenses'!$Q$228-'Part V-Revenues &amp; Expenses'!$Q$220)</f>
        <v>-162560</v>
      </c>
      <c r="C21" s="18">
        <f t="shared" ref="C21:K21" si="5">$B$21*(1+$B$7)^(C14-1)</f>
        <v>-167436.80000000002</v>
      </c>
      <c r="D21" s="18">
        <f t="shared" si="5"/>
        <v>-172459.90399999998</v>
      </c>
      <c r="E21" s="18">
        <f t="shared" si="5"/>
        <v>-177633.70112000001</v>
      </c>
      <c r="F21" s="18">
        <f t="shared" si="5"/>
        <v>-182962.71215359998</v>
      </c>
      <c r="G21" s="18">
        <f t="shared" si="5"/>
        <v>-188451.59351820798</v>
      </c>
      <c r="H21" s="18">
        <f t="shared" si="5"/>
        <v>-194105.14132375421</v>
      </c>
      <c r="I21" s="18">
        <f t="shared" si="5"/>
        <v>-199928.29556346688</v>
      </c>
      <c r="J21" s="18">
        <f t="shared" si="5"/>
        <v>-205926.14443037086</v>
      </c>
      <c r="K21" s="19">
        <f t="shared" si="5"/>
        <v>-212103.92876328199</v>
      </c>
      <c r="N21" s="3559"/>
      <c r="O21" s="3561"/>
      <c r="Q21" s="47">
        <v>1</v>
      </c>
      <c r="R21" s="869">
        <f>-B32</f>
        <v>2153</v>
      </c>
      <c r="S21" s="869">
        <f>B33+R21</f>
        <v>20110.548349529883</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-18654</v>
      </c>
      <c r="C22" s="18">
        <f>IF(AND('Part VI-Pro Forma'!$G$9="Yes",'Part VI-Pro Forma'!$G$10="Yes"),"Choose One!",IF('Part VI-Pro Forma'!$G$9="Yes",ROUND((-$K$9*(1+'Part VI-Pro Forma'!$B$7)^('Part VI-Pro Forma'!C14-1)),),IF('Part VI-Pro Forma'!$G$10="Yes",ROUND((-(SUM(C15:C18)*'Part VI-Pro Forma'!$K$10)),),"Choose mgt fee")))</f>
        <v>-19214</v>
      </c>
      <c r="D22" s="18">
        <f>IF(AND('Part VI-Pro Forma'!$G$9="Yes",'Part VI-Pro Forma'!$G$10="Yes"),"Choose One!",IF('Part VI-Pro Forma'!$G$9="Yes",ROUND((-$K$9*(1+'Part VI-Pro Forma'!$B$7)^('Part VI-Pro Forma'!D14-1)),),IF('Part VI-Pro Forma'!$G$10="Yes",ROUND((-(SUM(D15:D18)*'Part VI-Pro Forma'!$K$10)),),"Choose mgt fee")))</f>
        <v>-19790</v>
      </c>
      <c r="E22" s="18">
        <f>IF(AND('Part VI-Pro Forma'!$G$9="Yes",'Part VI-Pro Forma'!$G$10="Yes"),"Choose One!",IF('Part VI-Pro Forma'!$G$9="Yes",ROUND((-$K$9*(1+'Part VI-Pro Forma'!$B$7)^('Part VI-Pro Forma'!E14-1)),),IF('Part VI-Pro Forma'!$G$10="Yes",ROUND((-(SUM(E15:E18)*'Part VI-Pro Forma'!$K$10)),),"Choose mgt fee")))</f>
        <v>-20384</v>
      </c>
      <c r="F22" s="18">
        <f>IF(AND('Part VI-Pro Forma'!$G$9="Yes",'Part VI-Pro Forma'!$G$10="Yes"),"Choose One!",IF('Part VI-Pro Forma'!$G$9="Yes",ROUND((-$K$9*(1+'Part VI-Pro Forma'!$B$7)^('Part VI-Pro Forma'!F14-1)),),IF('Part VI-Pro Forma'!$G$10="Yes",ROUND((-(SUM(F15:F18)*'Part VI-Pro Forma'!$K$10)),),"Choose mgt fee")))</f>
        <v>-20995</v>
      </c>
      <c r="G22" s="18">
        <f>IF(AND('Part VI-Pro Forma'!$G$9="Yes",'Part VI-Pro Forma'!$G$10="Yes"),"Choose One!",IF('Part VI-Pro Forma'!$G$9="Yes",ROUND((-$K$9*(1+'Part VI-Pro Forma'!$B$7)^('Part VI-Pro Forma'!G14-1)),),IF('Part VI-Pro Forma'!$G$10="Yes",ROUND((-(SUM(G15:G18)*'Part VI-Pro Forma'!$K$10)),),"Choose mgt fee")))</f>
        <v>-21625</v>
      </c>
      <c r="H22" s="18">
        <f>IF(AND('Part VI-Pro Forma'!$G$9="Yes",'Part VI-Pro Forma'!$G$10="Yes"),"Choose One!",IF('Part VI-Pro Forma'!$G$9="Yes",ROUND((-$K$9*(1+'Part VI-Pro Forma'!$B$7)^('Part VI-Pro Forma'!H14-1)),),IF('Part VI-Pro Forma'!$G$10="Yes",ROUND((-(SUM(H15:H18)*'Part VI-Pro Forma'!$K$10)),),"Choose mgt fee")))</f>
        <v>-22274</v>
      </c>
      <c r="I22" s="18">
        <f>IF(AND('Part VI-Pro Forma'!$G$9="Yes",'Part VI-Pro Forma'!$G$10="Yes"),"Choose One!",IF('Part VI-Pro Forma'!$G$9="Yes",ROUND((-$K$9*(1+'Part VI-Pro Forma'!$B$7)^('Part VI-Pro Forma'!I14-1)),),IF('Part VI-Pro Forma'!$G$10="Yes",ROUND((-(SUM(I15:I18)*'Part VI-Pro Forma'!$K$10)),),"Choose mgt fee")))</f>
        <v>-22942</v>
      </c>
      <c r="J22" s="18">
        <f>IF(AND('Part VI-Pro Forma'!$G$9="Yes",'Part VI-Pro Forma'!$G$10="Yes"),"Choose One!",IF('Part VI-Pro Forma'!$G$9="Yes",ROUND((-$K$9*(1+'Part VI-Pro Forma'!$B$7)^('Part VI-Pro Forma'!J14-1)),),IF('Part VI-Pro Forma'!$G$10="Yes",ROUND((-(SUM(J15:J18)*'Part VI-Pro Forma'!$K$10)),),"Choose mgt fee")))</f>
        <v>-23630</v>
      </c>
      <c r="K22" s="19">
        <f>IF(AND('Part VI-Pro Forma'!$G$9="Yes",'Part VI-Pro Forma'!$G$10="Yes"),"Choose One!",IF('Part VI-Pro Forma'!$G$9="Yes",ROUND((-$K$9*(1+'Part VI-Pro Forma'!$B$7)^('Part VI-Pro Forma'!K14-1)),),IF('Part VI-Pro Forma'!$G$10="Yes",ROUND((-(SUM(K15:K18)*'Part VI-Pro Forma'!$K$10)),),"Choose mgt fee")))</f>
        <v>-24339</v>
      </c>
      <c r="N22" s="3559"/>
      <c r="O22" s="3561"/>
      <c r="Q22" s="47">
        <v>2</v>
      </c>
      <c r="R22" s="869">
        <f>-SUM(B32:C32)</f>
        <v>2153</v>
      </c>
      <c r="S22" s="869">
        <f>SUM(B33:C33)+R22</f>
        <v>39633.910939059773</v>
      </c>
      <c r="Z22" s="1719" t="s">
        <v>6460</v>
      </c>
      <c r="AA22" s="1721">
        <v>22</v>
      </c>
    </row>
    <row r="23" spans="1:27" ht="13.35" customHeight="1">
      <c r="A23" s="17" t="s">
        <v>1128</v>
      </c>
      <c r="B23" s="18">
        <f>-('Part V-Revenues &amp; Expenses'!$Q$234)</f>
        <v>-10000</v>
      </c>
      <c r="C23" s="18">
        <f t="shared" ref="C23:K23" si="6">$B$23*(1+$B$8)^(C14-1)</f>
        <v>-10300</v>
      </c>
      <c r="D23" s="18">
        <f t="shared" si="6"/>
        <v>-10609</v>
      </c>
      <c r="E23" s="18">
        <f t="shared" si="6"/>
        <v>-10927.27</v>
      </c>
      <c r="F23" s="18">
        <f t="shared" si="6"/>
        <v>-11255.088099999999</v>
      </c>
      <c r="G23" s="18">
        <f t="shared" si="6"/>
        <v>-11592.740742999998</v>
      </c>
      <c r="H23" s="18">
        <f t="shared" si="6"/>
        <v>-11940.52296529</v>
      </c>
      <c r="I23" s="18">
        <f t="shared" si="6"/>
        <v>-12298.7386542487</v>
      </c>
      <c r="J23" s="18">
        <f t="shared" si="6"/>
        <v>-12667.700813876159</v>
      </c>
      <c r="K23" s="19">
        <f t="shared" si="6"/>
        <v>-13047.731838292444</v>
      </c>
      <c r="N23" s="3559"/>
      <c r="O23" s="3561"/>
      <c r="Q23" s="47">
        <v>3</v>
      </c>
      <c r="R23" s="869">
        <f>-SUM(B32:D32)</f>
        <v>2153</v>
      </c>
      <c r="S23" s="869">
        <f>SUM(B33:D33)+R23</f>
        <v>58499.976053389684</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2153</v>
      </c>
      <c r="S24" s="869">
        <f>SUM(B33:E33)+R24</f>
        <v>76633.94270301552</v>
      </c>
      <c r="Z24" s="1719" t="s">
        <v>6460</v>
      </c>
      <c r="AA24" s="1721">
        <v>24</v>
      </c>
    </row>
    <row r="25" spans="1:27" ht="13.35" customHeight="1">
      <c r="A25" s="17" t="s">
        <v>1129</v>
      </c>
      <c r="B25" s="18">
        <f>SUM(B20:B24)</f>
        <v>75266.712</v>
      </c>
      <c r="C25" s="18">
        <f t="shared" ref="C25:J25" si="7">SUM(C20:C24)</f>
        <v>74859.526240000007</v>
      </c>
      <c r="D25" s="18">
        <f t="shared" si="7"/>
        <v>74387.628764800029</v>
      </c>
      <c r="E25" s="18">
        <f t="shared" si="7"/>
        <v>73846.492300095953</v>
      </c>
      <c r="F25" s="18">
        <f t="shared" si="7"/>
        <v>73234.492434897955</v>
      </c>
      <c r="G25" s="18">
        <f t="shared" si="7"/>
        <v>72546.904281059891</v>
      </c>
      <c r="H25" s="18">
        <f t="shared" si="7"/>
        <v>71780.899024069018</v>
      </c>
      <c r="I25" s="18">
        <f t="shared" si="7"/>
        <v>70933.540361659863</v>
      </c>
      <c r="J25" s="18">
        <f t="shared" si="7"/>
        <v>70000.780826715971</v>
      </c>
      <c r="K25" s="1215">
        <f>SUM(K20:K24)</f>
        <v>68978.457990807859</v>
      </c>
      <c r="N25" s="3559"/>
      <c r="O25" s="3561"/>
      <c r="Q25" s="92">
        <v>5</v>
      </c>
      <c r="R25" s="869">
        <f>-SUM(B32:F32)</f>
        <v>2153</v>
      </c>
      <c r="S25" s="869">
        <f>SUM(B33:F33)+R25</f>
        <v>93959.218627443362</v>
      </c>
      <c r="Z25" s="1719" t="s">
        <v>6460</v>
      </c>
      <c r="AA25" s="1721">
        <v>25</v>
      </c>
    </row>
    <row r="26" spans="1:27" ht="13.35" customHeight="1">
      <c r="A26" s="341" t="s">
        <v>1486</v>
      </c>
      <c r="B26" s="342">
        <f>IF('Part II-Sources of Funds'!$P$40="", 0,-'Part II-Sources of Funds'!$P$40)</f>
        <v>-49156.163650470116</v>
      </c>
      <c r="C26" s="342">
        <f>IF('Part II-Sources of Funds'!$P$40="", 0,-'Part II-Sources of Funds'!$P$40)</f>
        <v>-49156.163650470116</v>
      </c>
      <c r="D26" s="342">
        <f>IF('Part II-Sources of Funds'!$P$40="", 0,-'Part II-Sources of Funds'!$P$40)</f>
        <v>-49156.163650470116</v>
      </c>
      <c r="E26" s="342">
        <f>IF('Part II-Sources of Funds'!$P$40="", 0,-'Part II-Sources of Funds'!$P$40)</f>
        <v>-49156.163650470116</v>
      </c>
      <c r="F26" s="342">
        <f>IF('Part II-Sources of Funds'!$P$40="", 0,-'Part II-Sources of Funds'!$P$40)</f>
        <v>-49156.163650470116</v>
      </c>
      <c r="G26" s="342">
        <f>IF('Part II-Sources of Funds'!$P$40="", 0,-'Part II-Sources of Funds'!$P$40)</f>
        <v>-49156.163650470116</v>
      </c>
      <c r="H26" s="342">
        <f>IF('Part II-Sources of Funds'!$P$40="", 0,-'Part II-Sources of Funds'!$P$40)</f>
        <v>-49156.163650470116</v>
      </c>
      <c r="I26" s="342">
        <f>IF('Part II-Sources of Funds'!$P$40="", 0,-'Part II-Sources of Funds'!$P$40)</f>
        <v>-49156.163650470116</v>
      </c>
      <c r="J26" s="342">
        <f>IF('Part II-Sources of Funds'!$P$40="", 0,-'Part II-Sources of Funds'!$P$40)</f>
        <v>-49156.163650470116</v>
      </c>
      <c r="K26" s="342">
        <f>IF('Part II-Sources of Funds'!$P$40="", 0,-'Part II-Sources of Funds'!$P$40)</f>
        <v>-49156.163650470116</v>
      </c>
      <c r="N26" s="3559"/>
      <c r="O26" s="3561"/>
      <c r="Q26" s="92">
        <v>6</v>
      </c>
      <c r="R26" s="869">
        <f>-SUM(B32:G32)</f>
        <v>2153</v>
      </c>
      <c r="S26" s="869">
        <f>SUM(B33:G33)+R26</f>
        <v>110394.31481223313</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2153</v>
      </c>
      <c r="S27" s="869">
        <f>SUM(B33:H33)+R27</f>
        <v>125854.73640665803</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2153</v>
      </c>
      <c r="S28" s="869">
        <f>SUM(B33:I33)+R28</f>
        <v>140252.86992529855</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2153</v>
      </c>
      <c r="S29" s="869">
        <f>SUM(B33:J33)+R29</f>
        <v>153496.86661321871</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2153</v>
      </c>
      <c r="S30" s="869">
        <f>SUM(B33:K33)+R30</f>
        <v>165490.52185058099</v>
      </c>
      <c r="Z30" s="1719" t="s">
        <v>6460</v>
      </c>
      <c r="AA30" s="1721">
        <v>30</v>
      </c>
    </row>
    <row r="31" spans="1:27" ht="13.35" customHeight="1">
      <c r="A31" s="341" t="s">
        <v>1095</v>
      </c>
      <c r="B31" s="907">
        <f>-$G$6</f>
        <v>-6000</v>
      </c>
      <c r="C31" s="907">
        <f>+B31*1.03</f>
        <v>-6180</v>
      </c>
      <c r="D31" s="907">
        <f t="shared" ref="D31:K31" si="8">+C31*1.03</f>
        <v>-6365.4000000000005</v>
      </c>
      <c r="E31" s="907">
        <f t="shared" si="8"/>
        <v>-6556.362000000001</v>
      </c>
      <c r="F31" s="907">
        <f t="shared" si="8"/>
        <v>-6753.0528600000016</v>
      </c>
      <c r="G31" s="907">
        <f t="shared" si="8"/>
        <v>-6955.6444458000014</v>
      </c>
      <c r="H31" s="907">
        <f t="shared" si="8"/>
        <v>-7164.3137791740019</v>
      </c>
      <c r="I31" s="907">
        <f t="shared" si="8"/>
        <v>-7379.2431925492219</v>
      </c>
      <c r="J31" s="907">
        <f t="shared" si="8"/>
        <v>-7600.6204883256987</v>
      </c>
      <c r="K31" s="907">
        <f t="shared" si="8"/>
        <v>-7828.6391029754695</v>
      </c>
      <c r="N31" s="3559"/>
      <c r="O31" s="3561"/>
      <c r="Q31" s="92">
        <v>11</v>
      </c>
      <c r="R31" s="869">
        <f>-SUM(B32:K32)-B64</f>
        <v>2153</v>
      </c>
      <c r="S31" s="869">
        <f>SUM(B33:K33)+B65+R31</f>
        <v>176134.15046865441</v>
      </c>
      <c r="Z31" s="1719" t="s">
        <v>6460</v>
      </c>
      <c r="AA31" s="1721">
        <v>31</v>
      </c>
    </row>
    <row r="32" spans="1:27" ht="13.35" customHeight="1">
      <c r="A32" s="341" t="s">
        <v>3361</v>
      </c>
      <c r="B32" s="179">
        <f>IF('Part II-Sources of Funds'!$P$45="", 0,-'Part II-Sources of Funds'!$P$45)</f>
        <v>-2153</v>
      </c>
      <c r="C32" s="179"/>
      <c r="D32" s="179"/>
      <c r="E32" s="179"/>
      <c r="F32" s="179"/>
      <c r="G32" s="179"/>
      <c r="H32" s="179"/>
      <c r="I32" s="179"/>
      <c r="J32" s="179"/>
      <c r="K32" s="179"/>
      <c r="N32" s="3559"/>
      <c r="O32" s="3561"/>
      <c r="Q32" s="92">
        <v>12</v>
      </c>
      <c r="R32" s="869">
        <f>-SUM(B32:K32) - SUM(B64:C64)</f>
        <v>2153</v>
      </c>
      <c r="S32" s="869">
        <f>SUM(B33:K33) + SUM(B65:C65)+R32</f>
        <v>185323.45784514173</v>
      </c>
      <c r="Z32" s="1719" t="s">
        <v>6460</v>
      </c>
      <c r="AA32" s="1721">
        <v>32</v>
      </c>
    </row>
    <row r="33" spans="1:27" ht="13.35" customHeight="1">
      <c r="A33" s="17" t="s">
        <v>1096</v>
      </c>
      <c r="B33" s="18">
        <f t="shared" ref="B33:K33" si="9">SUM(B25:B32)</f>
        <v>17957.548349529883</v>
      </c>
      <c r="C33" s="18">
        <f t="shared" si="9"/>
        <v>19523.36258952989</v>
      </c>
      <c r="D33" s="18">
        <f t="shared" si="9"/>
        <v>18866.065114329911</v>
      </c>
      <c r="E33" s="18">
        <f t="shared" si="9"/>
        <v>18133.966649625836</v>
      </c>
      <c r="F33" s="18">
        <f t="shared" si="9"/>
        <v>17325.275924427835</v>
      </c>
      <c r="G33" s="18">
        <f t="shared" si="9"/>
        <v>16435.096184789774</v>
      </c>
      <c r="H33" s="18">
        <f t="shared" si="9"/>
        <v>15460.421594424901</v>
      </c>
      <c r="I33" s="18">
        <f t="shared" si="9"/>
        <v>14398.133518640525</v>
      </c>
      <c r="J33" s="18">
        <f t="shared" si="9"/>
        <v>13243.996687920157</v>
      </c>
      <c r="K33" s="19">
        <f t="shared" si="9"/>
        <v>11993.655237362273</v>
      </c>
      <c r="N33" s="3559"/>
      <c r="O33" s="3561"/>
      <c r="Q33" s="92">
        <v>13</v>
      </c>
      <c r="R33" s="869">
        <f>-SUM(B32:K32) - SUM(B64:D64)</f>
        <v>2153</v>
      </c>
      <c r="S33" s="869">
        <f>SUM(B33:K33) + SUM(B65:D65)+R33</f>
        <v>192949.40664260276</v>
      </c>
      <c r="Z33" s="1719" t="s">
        <v>6460</v>
      </c>
      <c r="AA33" s="1721">
        <v>33</v>
      </c>
    </row>
    <row r="34" spans="1:27" ht="13.35" customHeight="1">
      <c r="A34" s="17" t="str">
        <f>IF('Part II-Sources of Funds'!$E$40 = "Neither", "", "DCR Mortgage A")</f>
        <v>DCR Mortgage A</v>
      </c>
      <c r="B34" s="20">
        <f t="shared" ref="B34:K34" si="10">IF(B26=0,"",-B25/B26)</f>
        <v>1.5311754703884457</v>
      </c>
      <c r="C34" s="20">
        <f t="shared" si="10"/>
        <v>1.5228919565875045</v>
      </c>
      <c r="D34" s="20">
        <f t="shared" si="10"/>
        <v>1.5132919910866276</v>
      </c>
      <c r="E34" s="20">
        <f t="shared" si="10"/>
        <v>1.5022834740560496</v>
      </c>
      <c r="F34" s="20">
        <f t="shared" si="10"/>
        <v>1.4898333595688882</v>
      </c>
      <c r="G34" s="20">
        <f t="shared" si="10"/>
        <v>1.475845527672013</v>
      </c>
      <c r="H34" s="20">
        <f t="shared" si="10"/>
        <v>1.4602624308616592</v>
      </c>
      <c r="I34" s="20">
        <f t="shared" si="10"/>
        <v>1.4430243349753653</v>
      </c>
      <c r="J34" s="20">
        <f t="shared" si="10"/>
        <v>1.4240489010587485</v>
      </c>
      <c r="K34" s="21">
        <f t="shared" si="10"/>
        <v>1.4032514514616352</v>
      </c>
      <c r="N34" s="3559"/>
      <c r="O34" s="3561"/>
      <c r="Q34" s="92">
        <v>14</v>
      </c>
      <c r="R34" s="869">
        <f>-SUM(B32:K32) - SUM(B64:E64)</f>
        <v>2153</v>
      </c>
      <c r="S34" s="869">
        <f>SUM(B33:K33) + SUM(B65:E65)+R34</f>
        <v>198899.07904946984</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2153</v>
      </c>
      <c r="S35" s="869">
        <f>SUM(B33:K33) + SUM(B65:F65)+R35</f>
        <v>203054.53437874455</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2153</v>
      </c>
      <c r="S36" s="869">
        <f>SUM(B33:K33) + SUM(B65:G65)+R36</f>
        <v>214641.46637451736</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2153</v>
      </c>
      <c r="S37" s="869">
        <f>SUM(B33:K33) + SUM(B65:H65)+R37</f>
        <v>224464.07170912882</v>
      </c>
      <c r="Z37" s="1719" t="s">
        <v>6460</v>
      </c>
      <c r="AA37" s="1721">
        <v>37</v>
      </c>
    </row>
    <row r="38" spans="1:27" ht="13.35" customHeight="1">
      <c r="A38" s="341" t="s">
        <v>3213</v>
      </c>
      <c r="B38" s="20">
        <f t="shared" ref="B38:K38" si="14">IF(AND(B26=0,B27=0,B28=0,B29=0),"",-B25/(B26+B27+B28+B29))</f>
        <v>1.5311754703884457</v>
      </c>
      <c r="C38" s="20">
        <f t="shared" si="14"/>
        <v>1.5228919565875045</v>
      </c>
      <c r="D38" s="20">
        <f t="shared" si="14"/>
        <v>1.5132919910866276</v>
      </c>
      <c r="E38" s="20">
        <f t="shared" si="14"/>
        <v>1.5022834740560496</v>
      </c>
      <c r="F38" s="20">
        <f t="shared" si="14"/>
        <v>1.4898333595688882</v>
      </c>
      <c r="G38" s="20">
        <f t="shared" si="14"/>
        <v>1.475845527672013</v>
      </c>
      <c r="H38" s="20">
        <f t="shared" si="14"/>
        <v>1.4602624308616592</v>
      </c>
      <c r="I38" s="20">
        <f t="shared" si="14"/>
        <v>1.4430243349753653</v>
      </c>
      <c r="J38" s="20">
        <f t="shared" si="14"/>
        <v>1.4240489010587485</v>
      </c>
      <c r="K38" s="21">
        <f t="shared" si="14"/>
        <v>1.4032514514616352</v>
      </c>
      <c r="N38" s="3559"/>
      <c r="O38" s="3561"/>
      <c r="Q38" s="47">
        <v>18</v>
      </c>
      <c r="R38" s="869">
        <f>-SUM(B32:K32) - SUM(B64:I64)</f>
        <v>2153</v>
      </c>
      <c r="S38" s="869">
        <f>SUM(B33:K33) + SUM(B65:I65)+R38</f>
        <v>281554.01464260323</v>
      </c>
      <c r="Z38" s="1719" t="s">
        <v>6460</v>
      </c>
      <c r="AA38" s="1721">
        <v>38</v>
      </c>
    </row>
    <row r="39" spans="1:27" ht="13.35" customHeight="1">
      <c r="A39" s="17" t="s">
        <v>718</v>
      </c>
      <c r="B39" s="220">
        <f t="shared" ref="B39:K39" si="15">IF(OR(B22="Choose mgt fee",B22="Choose One!"),"",(B15+B16+B17+B18+B19) / -(B21+B22+B23))</f>
        <v>1.3936255295114375</v>
      </c>
      <c r="C39" s="220">
        <f t="shared" si="15"/>
        <v>1.3800925217871671</v>
      </c>
      <c r="D39" s="220">
        <f t="shared" si="15"/>
        <v>1.3666963948735522</v>
      </c>
      <c r="E39" s="220">
        <f t="shared" si="15"/>
        <v>1.3534255546054033</v>
      </c>
      <c r="F39" s="220">
        <f t="shared" si="15"/>
        <v>1.3402887390926597</v>
      </c>
      <c r="G39" s="220">
        <f t="shared" si="15"/>
        <v>1.3272753289165968</v>
      </c>
      <c r="H39" s="220">
        <f t="shared" si="15"/>
        <v>1.3143877214763118</v>
      </c>
      <c r="I39" s="220">
        <f t="shared" si="15"/>
        <v>1.3016278933049952</v>
      </c>
      <c r="J39" s="220">
        <f t="shared" si="15"/>
        <v>1.2889921128786084</v>
      </c>
      <c r="K39" s="221">
        <f t="shared" si="15"/>
        <v>1.2764771147123757</v>
      </c>
      <c r="N39" s="3559"/>
      <c r="O39" s="3561"/>
      <c r="Q39" s="92">
        <v>19</v>
      </c>
      <c r="R39" s="869">
        <f>-SUM(B32:K32) - SUM(B64:J64)</f>
        <v>2153</v>
      </c>
      <c r="S39" s="869">
        <f>SUM(B33:K33) + SUM(B65:J65)+R39</f>
        <v>336625.242560499</v>
      </c>
      <c r="Z39" s="1719" t="s">
        <v>6460</v>
      </c>
      <c r="AA39" s="1721">
        <v>39</v>
      </c>
    </row>
    <row r="40" spans="1:27" ht="13.35" customHeight="1">
      <c r="A40" s="341" t="s">
        <v>2405</v>
      </c>
      <c r="B40" s="177">
        <f>IF('Part II-Sources of Funds'!$I$40="","",-FV('Part II-Sources of Funds'!$K$40/12,12,B26/12,'Part II-Sources of Funds'!$I$40))</f>
        <v>636788.0706325206</v>
      </c>
      <c r="C40" s="177">
        <f>IF('Part II-Sources of Funds'!$I$40="","",-FV('Part II-Sources of Funds'!$K$40/12,12,C26/12,B40))</f>
        <v>632057.20253433415</v>
      </c>
      <c r="D40" s="177">
        <f>IF('Part II-Sources of Funds'!$I$40="","",-FV('Part II-Sources of Funds'!$K$40/12,12,D26/12,C40))</f>
        <v>626984.3395988096</v>
      </c>
      <c r="E40" s="177">
        <f>IF('Part II-Sources of Funds'!$I$40="","",-FV('Part II-Sources of Funds'!$K$40/12,12,E26/12,D40))</f>
        <v>621544.75899150339</v>
      </c>
      <c r="F40" s="177">
        <f>IF('Part II-Sources of Funds'!$I$40="","",-FV('Part II-Sources of Funds'!$K$40/12,12,F26/12,E40))</f>
        <v>615711.950662271</v>
      </c>
      <c r="G40" s="177">
        <f>IF('Part II-Sources of Funds'!$I$40="","",-FV('Part II-Sources of Funds'!$K$40/12,12,G26/12,F40))</f>
        <v>609457.4881472995</v>
      </c>
      <c r="H40" s="177">
        <f>IF('Part II-Sources of Funds'!$I$40="","",-FV('Part II-Sources of Funds'!$K$40/12,12,H26/12,G40))</f>
        <v>602750.8900314084</v>
      </c>
      <c r="I40" s="177">
        <f>IF('Part II-Sources of Funds'!$I$40="","",-FV('Part II-Sources of Funds'!$K$40/12,12,I26/12,H40))</f>
        <v>595559.47139544925</v>
      </c>
      <c r="J40" s="177">
        <f>IF('Part II-Sources of Funds'!$I$40="","",-FV('Part II-Sources of Funds'!$K$40/12,12,J26/12,I40))</f>
        <v>587848.18452482554</v>
      </c>
      <c r="K40" s="177">
        <f>IF('Part II-Sources of Funds'!$I$40="","",-FV('Part II-Sources of Funds'!$K$40/12,12,K26/12,J40))</f>
        <v>579579.4481028188</v>
      </c>
      <c r="N40" s="3559"/>
      <c r="O40" s="3561"/>
      <c r="Q40" s="92">
        <v>20</v>
      </c>
      <c r="R40" s="869">
        <f>-SUM(B32:K32) - SUM(B64:K64)</f>
        <v>2153</v>
      </c>
      <c r="S40" s="869">
        <f>SUM(B33:K33) + SUM(B65:K65)+R40</f>
        <v>389542.31654627697</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342439.91246492718</v>
      </c>
      <c r="C47" s="15">
        <f t="shared" si="17"/>
        <v>349288.71071422566</v>
      </c>
      <c r="D47" s="15">
        <f t="shared" si="17"/>
        <v>356274.48492851021</v>
      </c>
      <c r="E47" s="15">
        <f t="shared" si="17"/>
        <v>363399.97462708037</v>
      </c>
      <c r="F47" s="15">
        <f t="shared" si="17"/>
        <v>370667.97411962203</v>
      </c>
      <c r="G47" s="15">
        <f t="shared" si="17"/>
        <v>378081.33360201441</v>
      </c>
      <c r="H47" s="15">
        <f t="shared" si="17"/>
        <v>385642.96027405473</v>
      </c>
      <c r="I47" s="15">
        <f t="shared" si="17"/>
        <v>393355.81947953586</v>
      </c>
      <c r="J47" s="15">
        <f t="shared" si="17"/>
        <v>401222.93586912652</v>
      </c>
      <c r="K47" s="16">
        <f t="shared" si="17"/>
        <v>409247.39458650904</v>
      </c>
      <c r="N47" s="3562"/>
      <c r="O47" s="3564"/>
      <c r="Z47" s="1719" t="s">
        <v>6461</v>
      </c>
      <c r="AA47" s="1721">
        <v>47</v>
      </c>
    </row>
    <row r="48" spans="1:27" ht="13.35" customHeight="1">
      <c r="A48" s="17" t="s">
        <v>952</v>
      </c>
      <c r="B48" s="18">
        <f t="shared" ref="B48:K48" si="18">$B$16*(1+$B$6)^(B46-1)</f>
        <v>6848.7982492985439</v>
      </c>
      <c r="C48" s="18">
        <f t="shared" si="18"/>
        <v>6985.7742142845136</v>
      </c>
      <c r="D48" s="18">
        <f t="shared" si="18"/>
        <v>7125.4896985702053</v>
      </c>
      <c r="E48" s="18">
        <f t="shared" si="18"/>
        <v>7267.9994925416086</v>
      </c>
      <c r="F48" s="18">
        <f t="shared" si="18"/>
        <v>7413.3594823924414</v>
      </c>
      <c r="G48" s="18">
        <f t="shared" si="18"/>
        <v>7561.6266720402882</v>
      </c>
      <c r="H48" s="18">
        <f t="shared" si="18"/>
        <v>7712.8592054810952</v>
      </c>
      <c r="I48" s="18">
        <f t="shared" si="18"/>
        <v>7867.1163895907184</v>
      </c>
      <c r="J48" s="18">
        <f t="shared" si="18"/>
        <v>8024.4587173825312</v>
      </c>
      <c r="K48" s="19">
        <f t="shared" si="18"/>
        <v>8184.9478917301822</v>
      </c>
      <c r="N48" s="3559"/>
      <c r="O48" s="3561"/>
      <c r="Z48" s="1719" t="s">
        <v>6461</v>
      </c>
      <c r="AA48" s="1721">
        <v>48</v>
      </c>
    </row>
    <row r="49" spans="1:27" ht="13.35" customHeight="1">
      <c r="A49" s="17" t="s">
        <v>2216</v>
      </c>
      <c r="B49" s="18">
        <f t="shared" ref="B49:K49" si="19">-(B47+B48)*$B$9</f>
        <v>-24450.209749995804</v>
      </c>
      <c r="C49" s="18">
        <f t="shared" si="19"/>
        <v>-24939.213944995714</v>
      </c>
      <c r="D49" s="18">
        <f t="shared" si="19"/>
        <v>-25437.998223895633</v>
      </c>
      <c r="E49" s="18">
        <f t="shared" si="19"/>
        <v>-25946.75818837354</v>
      </c>
      <c r="F49" s="18">
        <f t="shared" si="19"/>
        <v>-26465.693352141014</v>
      </c>
      <c r="G49" s="18">
        <f t="shared" si="19"/>
        <v>-26995.00721918383</v>
      </c>
      <c r="H49" s="18">
        <f t="shared" si="19"/>
        <v>-27534.907363567509</v>
      </c>
      <c r="I49" s="18">
        <f t="shared" si="19"/>
        <v>-28085.605510838865</v>
      </c>
      <c r="J49" s="18">
        <f t="shared" si="19"/>
        <v>-28647.317621055634</v>
      </c>
      <c r="K49" s="19">
        <f t="shared" si="19"/>
        <v>-29220.263973476747</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0">SUM(B47:B51)</f>
        <v>324838.50096422993</v>
      </c>
      <c r="C52" s="18">
        <f t="shared" si="20"/>
        <v>331335.27098351443</v>
      </c>
      <c r="D52" s="18">
        <f t="shared" si="20"/>
        <v>337961.97640318482</v>
      </c>
      <c r="E52" s="18">
        <f t="shared" si="20"/>
        <v>344721.21593124844</v>
      </c>
      <c r="F52" s="18">
        <f t="shared" si="20"/>
        <v>351615.64024987345</v>
      </c>
      <c r="G52" s="18">
        <f t="shared" si="20"/>
        <v>358647.95305487083</v>
      </c>
      <c r="H52" s="18">
        <f t="shared" si="20"/>
        <v>365820.9121159683</v>
      </c>
      <c r="I52" s="18">
        <f t="shared" si="20"/>
        <v>373137.33035828773</v>
      </c>
      <c r="J52" s="18">
        <f t="shared" si="20"/>
        <v>380600.07696545339</v>
      </c>
      <c r="K52" s="19">
        <f t="shared" si="20"/>
        <v>388212.07850476244</v>
      </c>
      <c r="N52" s="3559"/>
      <c r="O52" s="3561"/>
      <c r="Z52" s="1719" t="s">
        <v>6461</v>
      </c>
      <c r="AA52" s="1721">
        <v>52</v>
      </c>
    </row>
    <row r="53" spans="1:27" ht="13.35" customHeight="1">
      <c r="A53" s="17" t="s">
        <v>572</v>
      </c>
      <c r="B53" s="18">
        <f t="shared" ref="B53:K53" si="21">$B$21*(1+$B$7)^(B46-1)</f>
        <v>-218467.04662618044</v>
      </c>
      <c r="C53" s="18">
        <f t="shared" si="21"/>
        <v>-225021.05802496587</v>
      </c>
      <c r="D53" s="18">
        <f t="shared" si="21"/>
        <v>-231771.68976571481</v>
      </c>
      <c r="E53" s="18">
        <f t="shared" si="21"/>
        <v>-238724.84045868623</v>
      </c>
      <c r="F53" s="18">
        <f t="shared" si="21"/>
        <v>-245886.58567244685</v>
      </c>
      <c r="G53" s="18">
        <f t="shared" si="21"/>
        <v>-253263.18324262026</v>
      </c>
      <c r="H53" s="18">
        <f t="shared" si="21"/>
        <v>-260861.07873989883</v>
      </c>
      <c r="I53" s="18">
        <f t="shared" si="21"/>
        <v>-268686.91110209579</v>
      </c>
      <c r="J53" s="18">
        <f t="shared" si="21"/>
        <v>-276747.51843515865</v>
      </c>
      <c r="K53" s="19">
        <f t="shared" si="21"/>
        <v>-285049.94398821343</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-25069</v>
      </c>
      <c r="C54" s="18">
        <f>IF(AND('Part VI-Pro Forma'!$G$9="Yes",'Part VI-Pro Forma'!$G$10="Yes"),"Choose One!",IF('Part VI-Pro Forma'!$G$9="Yes",ROUND((-$K$9*(1+'Part VI-Pro Forma'!$B$7)^('Part VI-Pro Forma'!C46-1)),),IF('Part VI-Pro Forma'!$G$10="Yes",ROUND((-(SUM(C47:C50)*'Part VI-Pro Forma'!$K$10)),),"Choose mgt fee")))</f>
        <v>-25821</v>
      </c>
      <c r="D54" s="18">
        <f>IF(AND('Part VI-Pro Forma'!$G$9="Yes",'Part VI-Pro Forma'!$G$10="Yes"),"Choose One!",IF('Part VI-Pro Forma'!$G$9="Yes",ROUND((-$K$9*(1+'Part VI-Pro Forma'!$B$7)^('Part VI-Pro Forma'!D46-1)),),IF('Part VI-Pro Forma'!$G$10="Yes",ROUND((-(SUM(D47:D50)*'Part VI-Pro Forma'!$K$10)),),"Choose mgt fee")))</f>
        <v>-26596</v>
      </c>
      <c r="E54" s="18">
        <f>IF(AND('Part VI-Pro Forma'!$G$9="Yes",'Part VI-Pro Forma'!$G$10="Yes"),"Choose One!",IF('Part VI-Pro Forma'!$G$9="Yes",ROUND((-$K$9*(1+'Part VI-Pro Forma'!$B$7)^('Part VI-Pro Forma'!E46-1)),),IF('Part VI-Pro Forma'!$G$10="Yes",ROUND((-(SUM(E47:E50)*'Part VI-Pro Forma'!$K$10)),),"Choose mgt fee")))</f>
        <v>-27394</v>
      </c>
      <c r="F54" s="18">
        <f>IF(AND('Part VI-Pro Forma'!$G$9="Yes",'Part VI-Pro Forma'!$G$10="Yes"),"Choose One!",IF('Part VI-Pro Forma'!$G$9="Yes",ROUND((-$K$9*(1+'Part VI-Pro Forma'!$B$7)^('Part VI-Pro Forma'!F46-1)),),IF('Part VI-Pro Forma'!$G$10="Yes",ROUND((-(SUM(F47:F50)*'Part VI-Pro Forma'!$K$10)),),"Choose mgt fee")))</f>
        <v>-28216</v>
      </c>
      <c r="G54" s="18">
        <f>IF(AND('Part VI-Pro Forma'!$G$9="Yes",'Part VI-Pro Forma'!$G$10="Yes"),"Choose One!",IF('Part VI-Pro Forma'!$G$9="Yes",ROUND((-$K$9*(1+'Part VI-Pro Forma'!$B$7)^('Part VI-Pro Forma'!G46-1)),),IF('Part VI-Pro Forma'!$G$10="Yes",ROUND((-(SUM(G47:G50)*'Part VI-Pro Forma'!$K$10)),),"Choose mgt fee")))</f>
        <v>-29062</v>
      </c>
      <c r="H54" s="18">
        <f>IF(AND('Part VI-Pro Forma'!$G$9="Yes",'Part VI-Pro Forma'!$G$10="Yes"),"Choose One!",IF('Part VI-Pro Forma'!$G$9="Yes",ROUND((-$K$9*(1+'Part VI-Pro Forma'!$B$7)^('Part VI-Pro Forma'!H46-1)),),IF('Part VI-Pro Forma'!$G$10="Yes",ROUND((-(SUM(H47:H50)*'Part VI-Pro Forma'!$K$10)),),"Choose mgt fee")))</f>
        <v>-29934</v>
      </c>
      <c r="I54" s="18">
        <f>IF(AND('Part VI-Pro Forma'!$G$9="Yes",'Part VI-Pro Forma'!$G$10="Yes"),"Choose One!",IF('Part VI-Pro Forma'!$G$9="Yes",ROUND((-$K$9*(1+'Part VI-Pro Forma'!$B$7)^('Part VI-Pro Forma'!I46-1)),),IF('Part VI-Pro Forma'!$G$10="Yes",ROUND((-(SUM(I47:I50)*'Part VI-Pro Forma'!$K$10)),),"Choose mgt fee")))</f>
        <v>-30832</v>
      </c>
      <c r="J54" s="18">
        <f>IF(AND('Part VI-Pro Forma'!$G$9="Yes",'Part VI-Pro Forma'!$G$10="Yes"),"Choose One!",IF('Part VI-Pro Forma'!$G$9="Yes",ROUND((-$K$9*(1+'Part VI-Pro Forma'!$B$7)^('Part VI-Pro Forma'!J46-1)),),IF('Part VI-Pro Forma'!$G$10="Yes",ROUND((-(SUM(J47:J50)*'Part VI-Pro Forma'!$K$10)),),"Choose mgt fee")))</f>
        <v>-31757</v>
      </c>
      <c r="K54" s="19">
        <f>IF(AND('Part VI-Pro Forma'!$G$9="Yes",'Part VI-Pro Forma'!$G$10="Yes"),"Choose One!",IF('Part VI-Pro Forma'!$G$9="Yes",ROUND((-$K$9*(1+'Part VI-Pro Forma'!$B$7)^('Part VI-Pro Forma'!K46-1)),),IF('Part VI-Pro Forma'!$G$10="Yes",ROUND((-(SUM(K47:K50)*'Part VI-Pro Forma'!$K$10)),),"Choose mgt fee")))</f>
        <v>-32710</v>
      </c>
      <c r="N54" s="3559"/>
      <c r="O54" s="3561"/>
      <c r="Z54" s="1719" t="s">
        <v>6461</v>
      </c>
      <c r="AA54" s="1721">
        <v>54</v>
      </c>
    </row>
    <row r="55" spans="1:27" ht="13.35" customHeight="1">
      <c r="A55" s="17" t="s">
        <v>1128</v>
      </c>
      <c r="B55" s="18">
        <f t="shared" ref="B55:K55" si="22">$B$23*(1+$B$8)^(B46-1)</f>
        <v>-13439.163793441217</v>
      </c>
      <c r="C55" s="18">
        <f t="shared" si="22"/>
        <v>-13842.338707244455</v>
      </c>
      <c r="D55" s="18">
        <f t="shared" si="22"/>
        <v>-14257.608868461786</v>
      </c>
      <c r="E55" s="18">
        <f t="shared" si="22"/>
        <v>-14685.337134515639</v>
      </c>
      <c r="F55" s="18">
        <f t="shared" si="22"/>
        <v>-15125.897248551109</v>
      </c>
      <c r="G55" s="18">
        <f t="shared" si="22"/>
        <v>-15579.674166007644</v>
      </c>
      <c r="H55" s="18">
        <f t="shared" si="22"/>
        <v>-16047.064390987871</v>
      </c>
      <c r="I55" s="18">
        <f t="shared" si="22"/>
        <v>-16528.476322717506</v>
      </c>
      <c r="J55" s="18">
        <f t="shared" si="22"/>
        <v>-17024.330612399033</v>
      </c>
      <c r="K55" s="19">
        <f t="shared" si="22"/>
        <v>-17535.060530771003</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3">SUM(B52:B56)</f>
        <v>67863.290544608273</v>
      </c>
      <c r="C57" s="18">
        <f t="shared" si="23"/>
        <v>66650.874251304107</v>
      </c>
      <c r="D57" s="18">
        <f t="shared" si="23"/>
        <v>65336.677769008224</v>
      </c>
      <c r="E57" s="18">
        <f t="shared" si="23"/>
        <v>63917.038338046572</v>
      </c>
      <c r="F57" s="18">
        <f t="shared" si="23"/>
        <v>62387.157328875495</v>
      </c>
      <c r="G57" s="18">
        <f t="shared" si="23"/>
        <v>60743.095646242924</v>
      </c>
      <c r="H57" s="18">
        <f t="shared" si="23"/>
        <v>58978.768985081595</v>
      </c>
      <c r="I57" s="18">
        <f t="shared" si="23"/>
        <v>57089.942933474427</v>
      </c>
      <c r="J57" s="18">
        <f t="shared" si="23"/>
        <v>55071.227917895711</v>
      </c>
      <c r="K57" s="1215">
        <f t="shared" si="23"/>
        <v>52917.073985777999</v>
      </c>
      <c r="N57" s="3559"/>
      <c r="O57" s="3561"/>
      <c r="Z57" s="1719" t="s">
        <v>6461</v>
      </c>
      <c r="AA57" s="1721">
        <v>57</v>
      </c>
    </row>
    <row r="58" spans="1:27" ht="13.35" customHeight="1">
      <c r="A58" s="17" t="str">
        <f>$A26</f>
        <v>Mortgage A</v>
      </c>
      <c r="B58" s="342">
        <f>IF('Part II-Sources of Funds'!$P$40="", 0,-'Part II-Sources of Funds'!$P$40)</f>
        <v>-49156.163650470116</v>
      </c>
      <c r="C58" s="342">
        <f>IF('Part II-Sources of Funds'!$P$40="", 0,-'Part II-Sources of Funds'!$P$40)</f>
        <v>-49156.163650470116</v>
      </c>
      <c r="D58" s="342">
        <f>IF('Part II-Sources of Funds'!$P$40="", 0,-'Part II-Sources of Funds'!$P$40)</f>
        <v>-49156.163650470116</v>
      </c>
      <c r="E58" s="342">
        <f>IF('Part II-Sources of Funds'!$P$40="", 0,-'Part II-Sources of Funds'!$P$40)</f>
        <v>-49156.163650470116</v>
      </c>
      <c r="F58" s="342">
        <f>IF('Part II-Sources of Funds'!$P$40="", 0,-'Part II-Sources of Funds'!$P$40)</f>
        <v>-49156.163650470116</v>
      </c>
      <c r="G58" s="342">
        <f>IF('Part II-Sources of Funds'!$P$40="", 0,-'Part II-Sources of Funds'!$P$40)</f>
        <v>-49156.163650470116</v>
      </c>
      <c r="H58" s="342">
        <f>IF('Part II-Sources of Funds'!$P$40="", 0,-'Part II-Sources of Funds'!$P$40)</f>
        <v>-49156.163650470116</v>
      </c>
      <c r="I58" s="342"/>
      <c r="J58" s="342"/>
      <c r="K58" s="342"/>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+K31*1.03</f>
        <v>-8063.4982760647335</v>
      </c>
      <c r="C63" s="178">
        <f>+B63*1.03</f>
        <v>-8305.4032243466754</v>
      </c>
      <c r="D63" s="178">
        <f t="shared" ref="D63:F63" si="24">+C63*1.03</f>
        <v>-8554.5653210770761</v>
      </c>
      <c r="E63" s="178">
        <f t="shared" si="24"/>
        <v>-8811.202280709389</v>
      </c>
      <c r="F63" s="178">
        <f t="shared" si="24"/>
        <v>-9075.5383491306711</v>
      </c>
      <c r="G63" s="178"/>
      <c r="H63" s="178"/>
      <c r="I63" s="178"/>
      <c r="J63" s="178"/>
      <c r="K63" s="178"/>
      <c r="N63" s="3559"/>
      <c r="O63" s="3561"/>
      <c r="Z63" s="1719" t="s">
        <v>6461</v>
      </c>
      <c r="AA63" s="1721">
        <v>63</v>
      </c>
    </row>
    <row r="64" spans="1:27" ht="13.35" customHeight="1">
      <c r="A64" s="341" t="s">
        <v>3361</v>
      </c>
      <c r="B64" s="179"/>
      <c r="C64" s="179"/>
      <c r="D64" s="179"/>
      <c r="E64" s="179"/>
      <c r="F64" s="179"/>
      <c r="G64" s="179"/>
      <c r="H64" s="179"/>
      <c r="I64" s="179"/>
      <c r="J64" s="179"/>
      <c r="K64" s="179"/>
      <c r="N64" s="3559"/>
      <c r="O64" s="3561"/>
      <c r="Z64" s="1719" t="s">
        <v>6461</v>
      </c>
      <c r="AA64" s="1721">
        <v>64</v>
      </c>
    </row>
    <row r="65" spans="1:27" ht="13.35" customHeight="1">
      <c r="A65" s="17" t="s">
        <v>1096</v>
      </c>
      <c r="B65" s="18">
        <f t="shared" ref="B65:K65" si="25">SUM(B57:B64)</f>
        <v>10643.628618073424</v>
      </c>
      <c r="C65" s="18">
        <f t="shared" si="25"/>
        <v>9189.3073764873152</v>
      </c>
      <c r="D65" s="18">
        <f t="shared" si="25"/>
        <v>7625.9487974610311</v>
      </c>
      <c r="E65" s="18">
        <f t="shared" si="25"/>
        <v>5949.6724068670665</v>
      </c>
      <c r="F65" s="18">
        <f t="shared" si="25"/>
        <v>4155.4553292747078</v>
      </c>
      <c r="G65" s="18">
        <f t="shared" si="25"/>
        <v>11586.931995772808</v>
      </c>
      <c r="H65" s="18">
        <f t="shared" si="25"/>
        <v>9822.6053346114786</v>
      </c>
      <c r="I65" s="18">
        <f t="shared" si="25"/>
        <v>57089.942933474427</v>
      </c>
      <c r="J65" s="18">
        <f t="shared" si="25"/>
        <v>55071.227917895711</v>
      </c>
      <c r="K65" s="497">
        <f t="shared" si="25"/>
        <v>52917.073985777999</v>
      </c>
      <c r="N65" s="3559"/>
      <c r="O65" s="3561"/>
      <c r="Z65" s="1719" t="s">
        <v>6461</v>
      </c>
      <c r="AA65" s="1721">
        <v>65</v>
      </c>
    </row>
    <row r="66" spans="1:27" ht="13.35" customHeight="1">
      <c r="A66" s="17" t="str">
        <f>$A34</f>
        <v>DCR Mortgage A</v>
      </c>
      <c r="B66" s="20">
        <f t="shared" ref="B66:K66" si="26">IF(B58=0,"",-B57/B58)</f>
        <v>1.3805652334294654</v>
      </c>
      <c r="C66" s="20">
        <f t="shared" si="26"/>
        <v>1.3559006501246091</v>
      </c>
      <c r="D66" s="20">
        <f t="shared" si="26"/>
        <v>1.3291655189691225</v>
      </c>
      <c r="E66" s="20">
        <f t="shared" si="26"/>
        <v>1.3002853272386174</v>
      </c>
      <c r="F66" s="20">
        <f t="shared" si="26"/>
        <v>1.269162454834468</v>
      </c>
      <c r="G66" s="20">
        <f t="shared" si="26"/>
        <v>1.2357167674467613</v>
      </c>
      <c r="H66" s="20">
        <f t="shared" si="26"/>
        <v>1.1998244900569561</v>
      </c>
      <c r="I66" s="20" t="str">
        <f t="shared" si="26"/>
        <v/>
      </c>
      <c r="J66" s="20" t="str">
        <f t="shared" si="26"/>
        <v/>
      </c>
      <c r="K66" s="21" t="str">
        <f t="shared" si="26"/>
        <v/>
      </c>
      <c r="N66" s="3559"/>
      <c r="O66" s="3561"/>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6461</v>
      </c>
      <c r="AA69" s="1721">
        <v>69</v>
      </c>
    </row>
    <row r="70" spans="1:27" ht="13.35" customHeight="1">
      <c r="A70" s="341" t="s">
        <v>3213</v>
      </c>
      <c r="B70" s="20">
        <f t="shared" ref="B70:K70" si="30">IF(AND(B58=0,B59=0,B60=0,B61=0),"",-B57/(B58+B59+B60+B61))</f>
        <v>1.3805652334294654</v>
      </c>
      <c r="C70" s="20">
        <f t="shared" si="30"/>
        <v>1.3559006501246091</v>
      </c>
      <c r="D70" s="20">
        <f t="shared" si="30"/>
        <v>1.3291655189691225</v>
      </c>
      <c r="E70" s="20">
        <f t="shared" si="30"/>
        <v>1.3002853272386174</v>
      </c>
      <c r="F70" s="20">
        <f t="shared" si="30"/>
        <v>1.269162454834468</v>
      </c>
      <c r="G70" s="20">
        <f t="shared" si="30"/>
        <v>1.2357167674467613</v>
      </c>
      <c r="H70" s="20">
        <f t="shared" si="30"/>
        <v>1.1998244900569561</v>
      </c>
      <c r="I70" s="20" t="str">
        <f t="shared" si="30"/>
        <v/>
      </c>
      <c r="J70" s="20" t="str">
        <f t="shared" si="30"/>
        <v/>
      </c>
      <c r="K70" s="21" t="str">
        <f t="shared" si="30"/>
        <v/>
      </c>
      <c r="N70" s="3559"/>
      <c r="O70" s="3561"/>
      <c r="Z70" s="1719" t="s">
        <v>6461</v>
      </c>
      <c r="AA70" s="1721">
        <v>70</v>
      </c>
    </row>
    <row r="71" spans="1:27" ht="13.35" customHeight="1">
      <c r="A71" s="17" t="s">
        <v>718</v>
      </c>
      <c r="B71" s="220">
        <f t="shared" ref="B71:K71" si="31">IF(OR(B54="Choose mgt fee",B54="Choose One!"),"",(B47+B48+B49+B50+B51) / -(B53+B54+B55))</f>
        <v>1.2640849692614027</v>
      </c>
      <c r="C71" s="220">
        <f t="shared" si="31"/>
        <v>1.2518126307186024</v>
      </c>
      <c r="D71" s="220">
        <f t="shared" si="31"/>
        <v>1.2396574275987515</v>
      </c>
      <c r="E71" s="220">
        <f t="shared" si="31"/>
        <v>1.2276213939759919</v>
      </c>
      <c r="F71" s="220">
        <f t="shared" si="31"/>
        <v>1.215701983078604</v>
      </c>
      <c r="G71" s="220">
        <f t="shared" si="31"/>
        <v>1.2039009909896274</v>
      </c>
      <c r="H71" s="220">
        <f t="shared" si="31"/>
        <v>1.192212087894079</v>
      </c>
      <c r="I71" s="220">
        <f t="shared" si="31"/>
        <v>1.1806372879670013</v>
      </c>
      <c r="J71" s="220">
        <f t="shared" si="31"/>
        <v>1.1691746463609134</v>
      </c>
      <c r="K71" s="221">
        <f t="shared" si="31"/>
        <v>1.1578224347890094</v>
      </c>
      <c r="N71" s="3559"/>
      <c r="O71" s="3561"/>
      <c r="Z71" s="1719" t="s">
        <v>6461</v>
      </c>
      <c r="AA71" s="1721">
        <v>71</v>
      </c>
    </row>
    <row r="72" spans="1:27" ht="13.35" customHeight="1">
      <c r="A72" s="341" t="s">
        <v>2405</v>
      </c>
      <c r="B72" s="177">
        <f>IF('Part II-Sources of Funds'!$I$40="","",-FV('Part II-Sources of Funds'!$K$40/12,12,B58/12,K40))</f>
        <v>570712.96405628638</v>
      </c>
      <c r="C72" s="177">
        <f>IF('Part II-Sources of Funds'!$I$40="","",-FV('Part II-Sources of Funds'!$K$40/12,12,C58/12,B72))</f>
        <v>561205.52116111957</v>
      </c>
      <c r="D72" s="177">
        <f>IF('Part II-Sources of Funds'!$I$40="","",-FV('Part II-Sources of Funds'!$K$40/12,12,D58/12,C72))</f>
        <v>551010.78445032507</v>
      </c>
      <c r="E72" s="177">
        <f>IF('Part II-Sources of Funds'!$I$40="","",-FV('Part II-Sources of Funds'!$K$40/12,12,E58/12,D72))</f>
        <v>540079.06939839921</v>
      </c>
      <c r="F72" s="177">
        <f>IF('Part II-Sources of Funds'!$I$40="","",-FV('Part II-Sources of Funds'!$K$40/12,12,F58/12,E72))</f>
        <v>528357.09978147235</v>
      </c>
      <c r="G72" s="177">
        <f>IF('Part II-Sources of Funds'!$I$40="","",-FV('Part II-Sources of Funds'!$K$40/12,12,G58/12,F72))</f>
        <v>515787.74803314346</v>
      </c>
      <c r="H72" s="177">
        <f>IF('Part II-Sources of Funds'!$I$40="","",-FV('Part II-Sources of Funds'!$K$40/12,12,H58/12,G72))</f>
        <v>502309.75683061744</v>
      </c>
      <c r="I72" s="177">
        <f>IF('Part II-Sources of Funds'!$I$40="","",-FV('Part II-Sources of Funds'!$K$40/12,12,I58/12,H72))</f>
        <v>538621.76976677892</v>
      </c>
      <c r="J72" s="177">
        <f>IF('Part II-Sources of Funds'!$I$40="","",-FV('Part II-Sources of Funds'!$K$40/12,12,J58/12,I72))</f>
        <v>577558.78105414822</v>
      </c>
      <c r="K72" s="177">
        <f>IF('Part II-Sources of Funds'!$I$40="","",-FV('Part II-Sources of Funds'!$K$40/12,12,K58/12,J72))</f>
        <v>619310.55203578167</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417432.34247823927</v>
      </c>
      <c r="C79" s="15">
        <f t="shared" si="33"/>
        <v>425780.98932780401</v>
      </c>
      <c r="D79" s="15">
        <f t="shared" si="33"/>
        <v>434296.60911436012</v>
      </c>
      <c r="E79" s="15">
        <f t="shared" si="33"/>
        <v>442982.54129664728</v>
      </c>
      <c r="F79" s="15">
        <f t="shared" si="33"/>
        <v>451842.19212258019</v>
      </c>
      <c r="G79" s="15">
        <f t="shared" si="33"/>
        <v>460879.03596503183</v>
      </c>
      <c r="H79" s="15">
        <f t="shared" si="33"/>
        <v>470096.61668433249</v>
      </c>
      <c r="I79" s="15">
        <f t="shared" si="33"/>
        <v>479498.54901801905</v>
      </c>
      <c r="J79" s="15">
        <f t="shared" si="33"/>
        <v>489088.51999837958</v>
      </c>
      <c r="K79" s="16">
        <f t="shared" si="33"/>
        <v>498870.29039834708</v>
      </c>
      <c r="N79" s="3562"/>
      <c r="O79" s="3564"/>
      <c r="Z79" s="1719" t="s">
        <v>6462</v>
      </c>
      <c r="AA79" s="1721">
        <v>79</v>
      </c>
    </row>
    <row r="80" spans="1:27" ht="13.35" customHeight="1">
      <c r="A80" s="17" t="s">
        <v>952</v>
      </c>
      <c r="B80" s="18">
        <f t="shared" ref="B80:K80" si="34">$B$16*(1+$B$6)^(B78-1)</f>
        <v>8348.646849564786</v>
      </c>
      <c r="C80" s="18">
        <f t="shared" si="34"/>
        <v>8515.6197865560807</v>
      </c>
      <c r="D80" s="18">
        <f t="shared" si="34"/>
        <v>8685.9321822872043</v>
      </c>
      <c r="E80" s="18">
        <f t="shared" si="34"/>
        <v>8859.6508259329457</v>
      </c>
      <c r="F80" s="18">
        <f t="shared" si="34"/>
        <v>9036.8438424516044</v>
      </c>
      <c r="G80" s="18">
        <f t="shared" si="34"/>
        <v>9217.5807193006367</v>
      </c>
      <c r="H80" s="18">
        <f t="shared" si="34"/>
        <v>9401.932333686651</v>
      </c>
      <c r="I80" s="18">
        <f t="shared" si="34"/>
        <v>9589.9709803603819</v>
      </c>
      <c r="J80" s="18">
        <f t="shared" si="34"/>
        <v>9781.7703999675923</v>
      </c>
      <c r="K80" s="19">
        <f t="shared" si="34"/>
        <v>9977.405807966943</v>
      </c>
      <c r="N80" s="3559"/>
      <c r="O80" s="3561"/>
      <c r="Z80" s="1719" t="s">
        <v>6462</v>
      </c>
      <c r="AA80" s="1721">
        <v>80</v>
      </c>
    </row>
    <row r="81" spans="1:27" ht="13.35" customHeight="1">
      <c r="A81" s="17" t="s">
        <v>2216</v>
      </c>
      <c r="B81" s="18">
        <f t="shared" ref="B81:K81" si="35">-(B79+B80)*$B$9</f>
        <v>-29804.669252946289</v>
      </c>
      <c r="C81" s="18">
        <f t="shared" si="35"/>
        <v>-30400.762638005206</v>
      </c>
      <c r="D81" s="18">
        <f t="shared" si="35"/>
        <v>-31008.777890765316</v>
      </c>
      <c r="E81" s="18">
        <f t="shared" si="35"/>
        <v>-31628.953448580622</v>
      </c>
      <c r="F81" s="18">
        <f t="shared" si="35"/>
        <v>-32261.532517552227</v>
      </c>
      <c r="G81" s="18">
        <f t="shared" si="35"/>
        <v>-32906.763167903278</v>
      </c>
      <c r="H81" s="18">
        <f t="shared" si="35"/>
        <v>-33564.898431261339</v>
      </c>
      <c r="I81" s="18">
        <f t="shared" si="35"/>
        <v>-34236.196399886569</v>
      </c>
      <c r="J81" s="18">
        <f t="shared" si="35"/>
        <v>-34920.920327884305</v>
      </c>
      <c r="K81" s="19">
        <f t="shared" si="35"/>
        <v>-35619.338734441983</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36">SUM(B79:B83)</f>
        <v>395976.32007485779</v>
      </c>
      <c r="C84" s="18">
        <f t="shared" si="36"/>
        <v>403895.84647635487</v>
      </c>
      <c r="D84" s="18">
        <f t="shared" si="36"/>
        <v>411973.763405882</v>
      </c>
      <c r="E84" s="18">
        <f t="shared" si="36"/>
        <v>420213.23867399961</v>
      </c>
      <c r="F84" s="18">
        <f t="shared" si="36"/>
        <v>428617.50344747957</v>
      </c>
      <c r="G84" s="18">
        <f t="shared" si="36"/>
        <v>437189.8535164292</v>
      </c>
      <c r="H84" s="18">
        <f t="shared" si="36"/>
        <v>445933.65058675775</v>
      </c>
      <c r="I84" s="18">
        <f t="shared" si="36"/>
        <v>454852.32359849289</v>
      </c>
      <c r="J84" s="18">
        <f t="shared" si="36"/>
        <v>463949.37007046287</v>
      </c>
      <c r="K84" s="19">
        <f t="shared" si="36"/>
        <v>473228.35747187206</v>
      </c>
      <c r="N84" s="3559"/>
      <c r="O84" s="3561"/>
      <c r="Z84" s="1719" t="s">
        <v>6462</v>
      </c>
      <c r="AA84" s="1721">
        <v>84</v>
      </c>
    </row>
    <row r="85" spans="1:27" ht="13.35" customHeight="1">
      <c r="A85" s="17" t="s">
        <v>572</v>
      </c>
      <c r="B85" s="18">
        <f t="shared" ref="B85:K85" si="37">$B$21*(1+$B$7)^(B78-1)</f>
        <v>-293601.44230785983</v>
      </c>
      <c r="C85" s="18">
        <f t="shared" si="37"/>
        <v>-302409.48557709559</v>
      </c>
      <c r="D85" s="18">
        <f t="shared" si="37"/>
        <v>-311481.77014440845</v>
      </c>
      <c r="E85" s="18">
        <f t="shared" si="37"/>
        <v>-320826.22324874072</v>
      </c>
      <c r="F85" s="18">
        <f t="shared" si="37"/>
        <v>-330451.00994620292</v>
      </c>
      <c r="G85" s="18">
        <f t="shared" si="37"/>
        <v>-340364.54024458898</v>
      </c>
      <c r="H85" s="18">
        <f t="shared" si="37"/>
        <v>-350575.47645192675</v>
      </c>
      <c r="I85" s="18">
        <f t="shared" si="37"/>
        <v>-361092.74074548448</v>
      </c>
      <c r="J85" s="18">
        <f t="shared" si="37"/>
        <v>-371925.52296784904</v>
      </c>
      <c r="K85" s="19">
        <f t="shared" si="37"/>
        <v>-383083.28865688446</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-33691</v>
      </c>
      <c r="C86" s="18">
        <f>IF(AND('Part VI-Pro Forma'!$G$9="Yes",'Part VI-Pro Forma'!$G$10="Yes"),"Choose One!",IF('Part VI-Pro Forma'!$G$9="Yes",ROUND((-$K$9*(1+'Part VI-Pro Forma'!$B$7)^('Part VI-Pro Forma'!C78-1)),),IF('Part VI-Pro Forma'!$G$10="Yes",ROUND((-(SUM(C79:C82)*'Part VI-Pro Forma'!$K$10)),),"Choose mgt fee")))</f>
        <v>-34702</v>
      </c>
      <c r="D86" s="18">
        <f>IF(AND('Part VI-Pro Forma'!$G$9="Yes",'Part VI-Pro Forma'!$G$10="Yes"),"Choose One!",IF('Part VI-Pro Forma'!$G$9="Yes",ROUND((-$K$9*(1+'Part VI-Pro Forma'!$B$7)^('Part VI-Pro Forma'!D78-1)),),IF('Part VI-Pro Forma'!$G$10="Yes",ROUND((-(SUM(D79:D82)*'Part VI-Pro Forma'!$K$10)),),"Choose mgt fee")))</f>
        <v>-35743</v>
      </c>
      <c r="E86" s="18">
        <f>IF(AND('Part VI-Pro Forma'!$G$9="Yes",'Part VI-Pro Forma'!$G$10="Yes"),"Choose One!",IF('Part VI-Pro Forma'!$G$9="Yes",ROUND((-$K$9*(1+'Part VI-Pro Forma'!$B$7)^('Part VI-Pro Forma'!E78-1)),),IF('Part VI-Pro Forma'!$G$10="Yes",ROUND((-(SUM(E79:E82)*'Part VI-Pro Forma'!$K$10)),),"Choose mgt fee")))</f>
        <v>-36815</v>
      </c>
      <c r="F86" s="18">
        <f>IF(AND('Part VI-Pro Forma'!$G$9="Yes",'Part VI-Pro Forma'!$G$10="Yes"),"Choose One!",IF('Part VI-Pro Forma'!$G$9="Yes",ROUND((-$K$9*(1+'Part VI-Pro Forma'!$B$7)^('Part VI-Pro Forma'!F78-1)),),IF('Part VI-Pro Forma'!$G$10="Yes",ROUND((-(SUM(F79:F82)*'Part VI-Pro Forma'!$K$10)),),"Choose mgt fee")))</f>
        <v>-37920</v>
      </c>
      <c r="G86" s="18">
        <f>IF(AND('Part VI-Pro Forma'!$G$9="Yes",'Part VI-Pro Forma'!$G$10="Yes"),"Choose One!",IF('Part VI-Pro Forma'!$G$9="Yes",ROUND((-$K$9*(1+'Part VI-Pro Forma'!$B$7)^('Part VI-Pro Forma'!G78-1)),),IF('Part VI-Pro Forma'!$G$10="Yes",ROUND((-(SUM(G79:G82)*'Part VI-Pro Forma'!$K$10)),),"Choose mgt fee")))</f>
        <v>-39057</v>
      </c>
      <c r="H86" s="18">
        <f>IF(AND('Part VI-Pro Forma'!$G$9="Yes",'Part VI-Pro Forma'!$G$10="Yes"),"Choose One!",IF('Part VI-Pro Forma'!$G$9="Yes",ROUND((-$K$9*(1+'Part VI-Pro Forma'!$B$7)^('Part VI-Pro Forma'!H78-1)),),IF('Part VI-Pro Forma'!$G$10="Yes",ROUND((-(SUM(H79:H82)*'Part VI-Pro Forma'!$K$10)),),"Choose mgt fee")))</f>
        <v>-40229</v>
      </c>
      <c r="I86" s="18">
        <f>IF(AND('Part VI-Pro Forma'!$G$9="Yes",'Part VI-Pro Forma'!$G$10="Yes"),"Choose One!",IF('Part VI-Pro Forma'!$G$9="Yes",ROUND((-$K$9*(1+'Part VI-Pro Forma'!$B$7)^('Part VI-Pro Forma'!I78-1)),),IF('Part VI-Pro Forma'!$G$10="Yes",ROUND((-(SUM(I79:I82)*'Part VI-Pro Forma'!$K$10)),),"Choose mgt fee")))</f>
        <v>-41436</v>
      </c>
      <c r="J86" s="18">
        <f>IF(AND('Part VI-Pro Forma'!$G$9="Yes",'Part VI-Pro Forma'!$G$10="Yes"),"Choose One!",IF('Part VI-Pro Forma'!$G$9="Yes",ROUND((-$K$9*(1+'Part VI-Pro Forma'!$B$7)^('Part VI-Pro Forma'!J78-1)),),IF('Part VI-Pro Forma'!$G$10="Yes",ROUND((-(SUM(J79:J82)*'Part VI-Pro Forma'!$K$10)),),"Choose mgt fee")))</f>
        <v>-42679</v>
      </c>
      <c r="K86" s="19">
        <f>IF(AND('Part VI-Pro Forma'!$G$9="Yes",'Part VI-Pro Forma'!$G$10="Yes"),"Choose One!",IF('Part VI-Pro Forma'!$G$9="Yes",ROUND((-$K$9*(1+'Part VI-Pro Forma'!$B$7)^('Part VI-Pro Forma'!K78-1)),),IF('Part VI-Pro Forma'!$G$10="Yes",ROUND((-(SUM(K79:K82)*'Part VI-Pro Forma'!$K$10)),),"Choose mgt fee")))</f>
        <v>-43959</v>
      </c>
      <c r="N86" s="3559"/>
      <c r="O86" s="3561"/>
      <c r="Z86" s="1719" t="s">
        <v>6462</v>
      </c>
      <c r="AA86" s="1721">
        <v>86</v>
      </c>
    </row>
    <row r="87" spans="1:27" ht="13.35" customHeight="1">
      <c r="A87" s="17" t="s">
        <v>1128</v>
      </c>
      <c r="B87" s="18">
        <f t="shared" ref="B87:K87" si="38">$B$23*(1+$B$8)^(B78-1)</f>
        <v>-18061.112346694132</v>
      </c>
      <c r="C87" s="18">
        <f t="shared" si="38"/>
        <v>-18602.945717094954</v>
      </c>
      <c r="D87" s="18">
        <f t="shared" si="38"/>
        <v>-19161.034088607805</v>
      </c>
      <c r="E87" s="18">
        <f t="shared" si="38"/>
        <v>-19735.865111266041</v>
      </c>
      <c r="F87" s="18">
        <f t="shared" si="38"/>
        <v>-20327.94106460402</v>
      </c>
      <c r="G87" s="18">
        <f t="shared" si="38"/>
        <v>-20937.779296542139</v>
      </c>
      <c r="H87" s="18">
        <f t="shared" si="38"/>
        <v>-21565.912675438405</v>
      </c>
      <c r="I87" s="18">
        <f t="shared" si="38"/>
        <v>-22212.890055701555</v>
      </c>
      <c r="J87" s="18">
        <f t="shared" si="38"/>
        <v>-22879.276757372601</v>
      </c>
      <c r="K87" s="19">
        <f t="shared" si="38"/>
        <v>-23565.655060093777</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39">SUM(B84:B88)</f>
        <v>50622.765420303826</v>
      </c>
      <c r="C89" s="18">
        <f t="shared" si="39"/>
        <v>48181.415182164325</v>
      </c>
      <c r="D89" s="18">
        <f t="shared" si="39"/>
        <v>45587.95917286574</v>
      </c>
      <c r="E89" s="18">
        <f t="shared" si="39"/>
        <v>42836.150313992854</v>
      </c>
      <c r="F89" s="18">
        <f t="shared" si="39"/>
        <v>39918.552436672631</v>
      </c>
      <c r="G89" s="18">
        <f t="shared" si="39"/>
        <v>36830.53397529808</v>
      </c>
      <c r="H89" s="18">
        <f t="shared" si="39"/>
        <v>33563.261459392597</v>
      </c>
      <c r="I89" s="18">
        <f t="shared" si="39"/>
        <v>30110.692797306856</v>
      </c>
      <c r="J89" s="18">
        <f t="shared" si="39"/>
        <v>26465.570345241227</v>
      </c>
      <c r="K89" s="1215">
        <f t="shared" si="39"/>
        <v>22620.413754893831</v>
      </c>
      <c r="N89" s="3559"/>
      <c r="O89" s="3561"/>
      <c r="Z89" s="1719" t="s">
        <v>6462</v>
      </c>
      <c r="AA89" s="1721">
        <v>89</v>
      </c>
    </row>
    <row r="90" spans="1:27" ht="13.35" customHeight="1">
      <c r="A90" s="17" t="str">
        <f>$A58</f>
        <v>Mortgage A</v>
      </c>
      <c r="B90" s="342">
        <f>IF('Part II-Sources of Funds'!$P$40="", 0,-'Part II-Sources of Funds'!$P$40)</f>
        <v>-49156.163650470116</v>
      </c>
      <c r="C90" s="342">
        <f>IF('Part II-Sources of Funds'!$P$40="", 0,-'Part II-Sources of Funds'!$P$40)</f>
        <v>-49156.163650470116</v>
      </c>
      <c r="D90" s="342">
        <f>IF('Part II-Sources of Funds'!$P$40="", 0,-'Part II-Sources of Funds'!$P$40)</f>
        <v>-49156.163650470116</v>
      </c>
      <c r="E90" s="342">
        <f>IF('Part II-Sources of Funds'!$P$40="", 0,-'Part II-Sources of Funds'!$P$40)</f>
        <v>-49156.163650470116</v>
      </c>
      <c r="F90" s="342">
        <f>IF('Part II-Sources of Funds'!$P$40="", 0,-'Part II-Sources of Funds'!$P$40)</f>
        <v>-49156.163650470116</v>
      </c>
      <c r="G90" s="342">
        <f>IF('Part II-Sources of Funds'!$P$40="", 0,-'Part II-Sources of Funds'!$P$40)</f>
        <v>-49156.163650470116</v>
      </c>
      <c r="H90" s="342">
        <f>IF('Part II-Sources of Funds'!$P$40="", 0,-'Part II-Sources of Funds'!$P$40)</f>
        <v>-49156.163650470116</v>
      </c>
      <c r="I90" s="342">
        <f>IF('Part II-Sources of Funds'!$P$40="", 0,-'Part II-Sources of Funds'!$P$40)</f>
        <v>-49156.163650470116</v>
      </c>
      <c r="J90" s="342">
        <f>IF('Part II-Sources of Funds'!$P$40="", 0,-'Part II-Sources of Funds'!$P$40)</f>
        <v>-49156.163650470116</v>
      </c>
      <c r="K90" s="342">
        <f>IF('Part II-Sources of Funds'!$P$40="", 0,-'Part II-Sources of Funds'!$P$40)</f>
        <v>-49156.163650470116</v>
      </c>
      <c r="N90" s="3559"/>
      <c r="O90" s="3561"/>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59"/>
      <c r="O95" s="3561"/>
      <c r="Z95" s="1719" t="s">
        <v>6462</v>
      </c>
      <c r="AA95" s="1721">
        <v>95</v>
      </c>
    </row>
    <row r="96" spans="1:27" ht="13.35" customHeight="1">
      <c r="A96" s="17" t="s">
        <v>1096</v>
      </c>
      <c r="B96" s="18">
        <f t="shared" ref="B96:K96" si="41">SUM(B89:B95)</f>
        <v>1466.6017698337091</v>
      </c>
      <c r="C96" s="18">
        <f t="shared" si="41"/>
        <v>-974.7484683057919</v>
      </c>
      <c r="D96" s="18">
        <f t="shared" si="41"/>
        <v>-3568.2044776043767</v>
      </c>
      <c r="E96" s="18">
        <f t="shared" si="41"/>
        <v>-6320.0133364772628</v>
      </c>
      <c r="F96" s="18">
        <f t="shared" si="41"/>
        <v>-9237.6112137974851</v>
      </c>
      <c r="G96" s="18">
        <f t="shared" si="41"/>
        <v>-12325.629675172037</v>
      </c>
      <c r="H96" s="18">
        <f t="shared" si="41"/>
        <v>-15592.902191077519</v>
      </c>
      <c r="I96" s="18">
        <f t="shared" si="41"/>
        <v>-19045.47085316326</v>
      </c>
      <c r="J96" s="18">
        <f t="shared" si="41"/>
        <v>-22690.593305228889</v>
      </c>
      <c r="K96" s="19">
        <f t="shared" si="41"/>
        <v>-26535.749895576286</v>
      </c>
      <c r="N96" s="3559"/>
      <c r="O96" s="3561"/>
      <c r="Z96" s="1719" t="s">
        <v>6462</v>
      </c>
      <c r="AA96" s="1721">
        <v>96</v>
      </c>
    </row>
    <row r="97" spans="1:27" ht="13.35" customHeight="1">
      <c r="A97" s="17" t="str">
        <f>$A66</f>
        <v>DCR Mortgage A</v>
      </c>
      <c r="B97" s="20">
        <f t="shared" ref="B97:K97" si="42">IF(B90=0,"",-B89/B90)</f>
        <v>1.0298355620316941</v>
      </c>
      <c r="C97" s="20">
        <f t="shared" si="42"/>
        <v>0.98017037140577445</v>
      </c>
      <c r="D97" s="20">
        <f t="shared" si="42"/>
        <v>0.92741084306382293</v>
      </c>
      <c r="E97" s="20">
        <f t="shared" si="42"/>
        <v>0.87142989063555976</v>
      </c>
      <c r="F97" s="20">
        <f t="shared" si="42"/>
        <v>0.81207623769254134</v>
      </c>
      <c r="G97" s="20">
        <f t="shared" si="42"/>
        <v>0.74925566277273636</v>
      </c>
      <c r="H97" s="20">
        <f t="shared" si="42"/>
        <v>0.68278846368173829</v>
      </c>
      <c r="I97" s="20">
        <f t="shared" si="42"/>
        <v>0.61255172416244663</v>
      </c>
      <c r="J97" s="20">
        <f t="shared" si="42"/>
        <v>0.53839779958068634</v>
      </c>
      <c r="K97" s="21">
        <f t="shared" si="42"/>
        <v>0.46017451475136617</v>
      </c>
      <c r="N97" s="3559"/>
      <c r="O97" s="3561"/>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6462</v>
      </c>
      <c r="AA100" s="1721">
        <v>100</v>
      </c>
    </row>
    <row r="101" spans="1:27" ht="13.35" customHeight="1">
      <c r="A101" s="341" t="s">
        <v>3213</v>
      </c>
      <c r="B101" s="20">
        <f t="shared" ref="B101:K101" si="46">IF(AND(B90=0,B91=0,B92=0,B93=0),"",-B89/(B90+B91+B92+B93))</f>
        <v>1.0298355620316941</v>
      </c>
      <c r="C101" s="20">
        <f t="shared" si="46"/>
        <v>0.98017037140577445</v>
      </c>
      <c r="D101" s="20">
        <f t="shared" si="46"/>
        <v>0.92741084306382293</v>
      </c>
      <c r="E101" s="20">
        <f t="shared" si="46"/>
        <v>0.87142989063555976</v>
      </c>
      <c r="F101" s="20">
        <f t="shared" si="46"/>
        <v>0.81207623769254134</v>
      </c>
      <c r="G101" s="20">
        <f t="shared" si="46"/>
        <v>0.74925566277273636</v>
      </c>
      <c r="H101" s="20">
        <f t="shared" si="46"/>
        <v>0.68278846368173829</v>
      </c>
      <c r="I101" s="20">
        <f t="shared" si="46"/>
        <v>0.61255172416244663</v>
      </c>
      <c r="J101" s="20">
        <f t="shared" si="46"/>
        <v>0.53839779958068634</v>
      </c>
      <c r="K101" s="21">
        <f t="shared" si="46"/>
        <v>0.46017451475136617</v>
      </c>
      <c r="N101" s="3559"/>
      <c r="O101" s="3561"/>
      <c r="Z101" s="1719" t="s">
        <v>6462</v>
      </c>
      <c r="AA101" s="1721">
        <v>101</v>
      </c>
    </row>
    <row r="102" spans="1:27" ht="13.35" customHeight="1">
      <c r="A102" s="17" t="s">
        <v>718</v>
      </c>
      <c r="B102" s="220">
        <f>IF(OR(B86="Choose mgt fee",B86="Choose One!"),"",(B79+B80+B81+B82+B83) / -(B85+B86+B87))</f>
        <v>1.1465824362831307</v>
      </c>
      <c r="C102" s="220">
        <f t="shared" ref="C102:K102" si="47">IF(OR(C86="Choose mgt fee",C86="Choose One!"),"",(C79+C80+C81+C82+C83) / -(C85+C86+C87))</f>
        <v>1.1354497061220334</v>
      </c>
      <c r="D102" s="220">
        <f t="shared" si="47"/>
        <v>1.1244261067054673</v>
      </c>
      <c r="E102" s="220">
        <f t="shared" si="47"/>
        <v>1.1135102040777007</v>
      </c>
      <c r="F102" s="220">
        <f t="shared" si="47"/>
        <v>1.1026978651032242</v>
      </c>
      <c r="G102" s="220">
        <f t="shared" si="47"/>
        <v>1.0919936971056676</v>
      </c>
      <c r="H102" s="220">
        <f t="shared" si="47"/>
        <v>1.0813910560610749</v>
      </c>
      <c r="I102" s="220">
        <f t="shared" si="47"/>
        <v>1.0708917860029623</v>
      </c>
      <c r="J102" s="220">
        <f t="shared" si="47"/>
        <v>1.0604949722980919</v>
      </c>
      <c r="K102" s="221">
        <f t="shared" si="47"/>
        <v>1.0501997669377561</v>
      </c>
      <c r="N102" s="3559"/>
      <c r="O102" s="3561"/>
      <c r="Z102" s="1719" t="s">
        <v>6462</v>
      </c>
      <c r="AA102" s="1721">
        <v>102</v>
      </c>
    </row>
    <row r="103" spans="1:27" ht="13.35" customHeight="1">
      <c r="A103" s="341" t="s">
        <v>2405</v>
      </c>
      <c r="B103" s="177">
        <f>IF('Part II-Sources of Funds'!$I$40="","",-FV('Part II-Sources of Funds'!$K$40/12,12,B90/12,K72))</f>
        <v>613316.23270507064</v>
      </c>
      <c r="C103" s="177">
        <f>IF('Part II-Sources of Funds'!$I$40="","",-FV('Part II-Sources of Funds'!$K$40/12,12,C90/12,B103))</f>
        <v>606888.58354526432</v>
      </c>
      <c r="D103" s="177">
        <f>IF('Part II-Sources of Funds'!$I$40="","",-FV('Part II-Sources of Funds'!$K$40/12,12,D90/12,C103))</f>
        <v>599996.2791079802</v>
      </c>
      <c r="E103" s="177">
        <f>IF('Part II-Sources of Funds'!$I$40="","",-FV('Part II-Sources of Funds'!$K$40/12,12,E90/12,D103))</f>
        <v>592605.72942563891</v>
      </c>
      <c r="F103" s="177">
        <f>IF('Part II-Sources of Funds'!$I$40="","",-FV('Part II-Sources of Funds'!$K$40/12,12,F90/12,E103))</f>
        <v>584680.91630918917</v>
      </c>
      <c r="G103" s="177">
        <f>IF('Part II-Sources of Funds'!$I$40="","",-FV('Part II-Sources of Funds'!$K$40/12,12,G90/12,F103))</f>
        <v>576183.21781178075</v>
      </c>
      <c r="H103" s="177">
        <f>IF('Part II-Sources of Funds'!$I$40="","",-FV('Part II-Sources of Funds'!$K$40/12,12,H90/12,G103))</f>
        <v>567071.22000290279</v>
      </c>
      <c r="I103" s="177">
        <f>IF('Part II-Sources of Funds'!$I$40="","",-FV('Part II-Sources of Funds'!$K$40/12,12,I90/12,H103))</f>
        <v>557300.51513565914</v>
      </c>
      <c r="J103" s="177">
        <f>IF('Part II-Sources of Funds'!$I$40="","",-FV('Part II-Sources of Funds'!$K$40/12,12,J90/12,I103))</f>
        <v>546823.4852235401</v>
      </c>
      <c r="K103" s="177">
        <f>IF('Part II-Sources of Funds'!$I$40="","",-FV('Part II-Sources of Funds'!$K$40/12,12,K90/12,J103))</f>
        <v>535589.06997194071</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508847.69620631408</v>
      </c>
      <c r="C109" s="15">
        <f>$B$15*(1+$B$6)^(C108-1)</f>
        <v>519024.65013044019</v>
      </c>
      <c r="D109" s="15">
        <f>$B$15*(1+$B$6)^(D108-1)</f>
        <v>529405.14313304913</v>
      </c>
      <c r="E109" s="15">
        <f>$B$15*(1+$B$6)^(E108-1)</f>
        <v>539993.24599571014</v>
      </c>
      <c r="F109" s="497">
        <f>$B$15*(1+$B$6)^(F108-1)</f>
        <v>550793.1109156243</v>
      </c>
      <c r="G109" s="13"/>
      <c r="H109" s="13"/>
      <c r="I109" s="13"/>
      <c r="J109" s="13"/>
      <c r="K109" s="13"/>
      <c r="N109" s="3562"/>
      <c r="O109" s="3564"/>
      <c r="Z109" s="1719" t="s">
        <v>6463</v>
      </c>
      <c r="AA109" s="1721">
        <v>109</v>
      </c>
    </row>
    <row r="110" spans="1:27" ht="13.35" customHeight="1">
      <c r="A110" s="17" t="s">
        <v>952</v>
      </c>
      <c r="B110" s="18">
        <f>$B$16*(1+$B$6)^(B108-1)</f>
        <v>10176.953924126283</v>
      </c>
      <c r="C110" s="18">
        <f>$B$16*(1+$B$6)^(C108-1)</f>
        <v>10380.493002608806</v>
      </c>
      <c r="D110" s="18">
        <f>$B$16*(1+$B$6)^(D108-1)</f>
        <v>10588.102862660984</v>
      </c>
      <c r="E110" s="18">
        <f>$B$16*(1+$B$6)^(E108-1)</f>
        <v>10799.864919914204</v>
      </c>
      <c r="F110" s="19">
        <f>$B$16*(1+$B$6)^(F108-1)</f>
        <v>11015.862218312486</v>
      </c>
      <c r="G110" s="13"/>
      <c r="H110" s="13"/>
      <c r="I110" s="13"/>
      <c r="J110" s="13"/>
      <c r="K110" s="13"/>
      <c r="N110" s="3559"/>
      <c r="O110" s="3561"/>
      <c r="Z110" s="1719" t="s">
        <v>6463</v>
      </c>
      <c r="AA110" s="1721">
        <v>110</v>
      </c>
    </row>
    <row r="111" spans="1:27" ht="13.35" customHeight="1">
      <c r="A111" s="17" t="s">
        <v>2216</v>
      </c>
      <c r="B111" s="18">
        <f>-(B109+B110)*$B$9</f>
        <v>-36331.725509130833</v>
      </c>
      <c r="C111" s="18">
        <f>-(C109+C110)*$B$9</f>
        <v>-37058.360019313433</v>
      </c>
      <c r="D111" s="18">
        <f>-(D109+D110)*$B$9</f>
        <v>-37799.52721969971</v>
      </c>
      <c r="E111" s="18">
        <f>-(E109+E110)*$B$9</f>
        <v>-38555.517764093704</v>
      </c>
      <c r="F111" s="19">
        <f>-(F109+F110)*$B$9</f>
        <v>-39326.628119375579</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482692.9246213095</v>
      </c>
      <c r="C114" s="18">
        <f>SUM(C109:C113)</f>
        <v>492346.78311373561</v>
      </c>
      <c r="D114" s="18">
        <f>SUM(D109:D113)</f>
        <v>502193.71877601044</v>
      </c>
      <c r="E114" s="18">
        <f>SUM(E109:E113)</f>
        <v>512237.5931515306</v>
      </c>
      <c r="F114" s="19">
        <f>SUM(F109:F113)</f>
        <v>522482.3450145612</v>
      </c>
      <c r="G114" s="13"/>
      <c r="H114" s="13"/>
      <c r="I114" s="13"/>
      <c r="J114" s="13"/>
      <c r="K114" s="13"/>
      <c r="N114" s="3559"/>
      <c r="O114" s="3561"/>
      <c r="Z114" s="1719" t="s">
        <v>6463</v>
      </c>
      <c r="AA114" s="1721">
        <v>114</v>
      </c>
    </row>
    <row r="115" spans="1:27" ht="13.35" customHeight="1">
      <c r="A115" s="17" t="s">
        <v>572</v>
      </c>
      <c r="B115" s="18">
        <f>$B$21*(1+$B$7)^(B108-1)</f>
        <v>-394575.78731659096</v>
      </c>
      <c r="C115" s="18">
        <f>$B$21*(1+$B$7)^(C108-1)</f>
        <v>-406413.06093608879</v>
      </c>
      <c r="D115" s="18">
        <f>$B$21*(1+$B$7)^(D108-1)</f>
        <v>-418605.45276417135</v>
      </c>
      <c r="E115" s="18">
        <f>$B$21*(1+$B$7)^(E108-1)</f>
        <v>-431163.61634709651</v>
      </c>
      <c r="F115" s="19">
        <f>$B$21*(1+$B$7)^(F108-1)</f>
        <v>-444098.52483750932</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-45278</v>
      </c>
      <c r="C116" s="18">
        <f>IF(AND('Part VI-Pro Forma'!$G$9="Yes",'Part VI-Pro Forma'!$G$10="Yes"),"Choose One!",IF('Part VI-Pro Forma'!$G$9="Yes",ROUND((-$K$9*(1+'Part VI-Pro Forma'!$B$7)^('Part VI-Pro Forma'!C108-1)),),IF('Part VI-Pro Forma'!$G$10="Yes",ROUND((-(SUM(C109:C112)*'Part VI-Pro Forma'!$K$10)),),"Choose mgt fee")))</f>
        <v>-46636</v>
      </c>
      <c r="D116" s="18">
        <f>IF(AND('Part VI-Pro Forma'!$G$9="Yes",'Part VI-Pro Forma'!$G$10="Yes"),"Choose One!",IF('Part VI-Pro Forma'!$G$9="Yes",ROUND((-$K$9*(1+'Part VI-Pro Forma'!$B$7)^('Part VI-Pro Forma'!D108-1)),),IF('Part VI-Pro Forma'!$G$10="Yes",ROUND((-(SUM(D109:D112)*'Part VI-Pro Forma'!$K$10)),),"Choose mgt fee")))</f>
        <v>-48036</v>
      </c>
      <c r="E116" s="18">
        <f>IF(AND('Part VI-Pro Forma'!$G$9="Yes",'Part VI-Pro Forma'!$G$10="Yes"),"Choose One!",IF('Part VI-Pro Forma'!$G$9="Yes",ROUND((-$K$9*(1+'Part VI-Pro Forma'!$B$7)^('Part VI-Pro Forma'!E108-1)),),IF('Part VI-Pro Forma'!$G$10="Yes",ROUND((-(SUM(E109:E112)*'Part VI-Pro Forma'!$K$10)),),"Choose mgt fee")))</f>
        <v>-49477</v>
      </c>
      <c r="F116" s="19">
        <f>IF(AND('Part VI-Pro Forma'!$G$9="Yes",'Part VI-Pro Forma'!$G$10="Yes"),"Choose One!",IF('Part VI-Pro Forma'!$G$9="Yes",ROUND((-$K$9*(1+'Part VI-Pro Forma'!$B$7)^('Part VI-Pro Forma'!F108-1)),),IF('Part VI-Pro Forma'!$G$10="Yes",ROUND((-(SUM(F109:F112)*'Part VI-Pro Forma'!$K$10)),),"Choose mgt fee")))</f>
        <v>-50961</v>
      </c>
      <c r="G116" s="13"/>
      <c r="H116" s="13"/>
      <c r="I116" s="13"/>
      <c r="J116" s="13"/>
      <c r="K116" s="13"/>
      <c r="N116" s="3559"/>
      <c r="O116" s="3561"/>
      <c r="Z116" s="1719" t="s">
        <v>6463</v>
      </c>
      <c r="AA116" s="1721">
        <v>116</v>
      </c>
    </row>
    <row r="117" spans="1:27" ht="13.35" customHeight="1">
      <c r="A117" s="17" t="s">
        <v>1128</v>
      </c>
      <c r="B117" s="18">
        <f>$B$23*(1+$B$8)^(B108-1)</f>
        <v>-24272.624711896591</v>
      </c>
      <c r="C117" s="18">
        <f>$B$23*(1+$B$8)^(C108-1)</f>
        <v>-25000.803453253491</v>
      </c>
      <c r="D117" s="18">
        <f>$B$23*(1+$B$8)^(D108-1)</f>
        <v>-25750.827556851091</v>
      </c>
      <c r="E117" s="18">
        <f>$B$23*(1+$B$8)^(E108-1)</f>
        <v>-26523.352383556627</v>
      </c>
      <c r="F117" s="19">
        <f>$B$23*(1+$B$8)^(F108-1)</f>
        <v>-27319.052955063322</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18566.512592821957</v>
      </c>
      <c r="C119" s="18">
        <f>SUM(C114:C118)</f>
        <v>14296.91872439333</v>
      </c>
      <c r="D119" s="18">
        <f>SUM(D114:D118)</f>
        <v>9801.4384549880015</v>
      </c>
      <c r="E119" s="18">
        <f>SUM(E114:E118)</f>
        <v>5073.6244208774624</v>
      </c>
      <c r="F119" s="1215">
        <f>SUM(F114:F118)</f>
        <v>103.76722198855714</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-49156.163650470116</v>
      </c>
      <c r="C120" s="342">
        <f>IF('Part II-Sources of Funds'!$P$40="", 0,-'Part II-Sources of Funds'!$P$40)</f>
        <v>-49156.163650470116</v>
      </c>
      <c r="D120" s="342">
        <f>IF('Part II-Sources of Funds'!$P$40="", 0,-'Part II-Sources of Funds'!$P$40)</f>
        <v>-49156.163650470116</v>
      </c>
      <c r="E120" s="342">
        <f>IF('Part II-Sources of Funds'!$P$40="", 0,-'Part II-Sources of Funds'!$P$40)</f>
        <v>-49156.163650470116</v>
      </c>
      <c r="F120" s="342">
        <f>IF('Part II-Sources of Funds'!$P$40="", 0,-'Part II-Sources of Funds'!$P$40)</f>
        <v>-49156.163650470116</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59"/>
      <c r="O125" s="3561"/>
      <c r="Z125" s="1719" t="s">
        <v>6463</v>
      </c>
      <c r="AA125" s="1721">
        <v>125</v>
      </c>
    </row>
    <row r="126" spans="1:27" ht="13.35" customHeight="1">
      <c r="A126" s="17" t="s">
        <v>1096</v>
      </c>
      <c r="B126" s="18">
        <f>SUM(B119:B125)</f>
        <v>-30589.65105764816</v>
      </c>
      <c r="C126" s="18">
        <f>SUM(C119:C125)</f>
        <v>-34859.24492607679</v>
      </c>
      <c r="D126" s="18">
        <f>SUM(D119:D125)</f>
        <v>-39354.725195482111</v>
      </c>
      <c r="E126" s="18">
        <f>SUM(E119:E125)</f>
        <v>-44082.539229592658</v>
      </c>
      <c r="F126" s="19">
        <f>SUM(F119:F125)</f>
        <v>-49052.396428481559</v>
      </c>
      <c r="G126" s="13"/>
      <c r="H126" s="13"/>
      <c r="I126" s="13"/>
      <c r="J126" s="13"/>
      <c r="K126" s="13"/>
      <c r="N126" s="3559"/>
      <c r="O126" s="3561"/>
      <c r="Z126" s="1719" t="s">
        <v>6463</v>
      </c>
      <c r="AA126" s="1721">
        <v>126</v>
      </c>
    </row>
    <row r="127" spans="1:27" ht="13.35" customHeight="1">
      <c r="A127" s="17" t="str">
        <f>$A97</f>
        <v>DCR Mortgage A</v>
      </c>
      <c r="B127" s="20">
        <f>IF(B120=0,"",-B119/B120)</f>
        <v>0.37770467046291539</v>
      </c>
      <c r="C127" s="20">
        <f>IF(C120=0,"",-C119/C120)</f>
        <v>0.29084691852791889</v>
      </c>
      <c r="D127" s="20">
        <f>IF(D120=0,"",-D119/D120)</f>
        <v>0.19939388526497151</v>
      </c>
      <c r="E127" s="20">
        <f>IF(E120=0,"",-E119/E120)</f>
        <v>0.10321440983381013</v>
      </c>
      <c r="F127" s="21">
        <f>IF(F120=0,"",-F119/F120)</f>
        <v>2.1109707162341733E-3</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0.37770467046291539</v>
      </c>
      <c r="C131" s="20">
        <f>IF(AND(C120=0,C121=0,C122=0,C123=0),"",-C119/(C120+C121+C122+C123))</f>
        <v>0.29084691852791889</v>
      </c>
      <c r="D131" s="20">
        <f>IF(AND(D120=0,D121=0,D122=0,D123=0),"",-D119/(D120+D121+D122+D123))</f>
        <v>0.19939388526497151</v>
      </c>
      <c r="E131" s="20">
        <f>IF(AND(E120=0,E121=0,E122=0,E123=0),"",-E119/(E120+E121+E122+E123))</f>
        <v>0.10321440983381013</v>
      </c>
      <c r="F131" s="21">
        <f>IF(AND(F120=0,F121=0,F122=0,F123=0),"",-F119/(F120+F121+F122+F123))</f>
        <v>2.1109707162341733E-3</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1.0400031373169998</v>
      </c>
      <c r="C132" s="220">
        <f>IF(OR(C116="Choose mgt fee",C116="Choose One!"),"",(C109+C110+C111+C112+C113) / -(C115+C116+C117))</f>
        <v>1.0299067519716927</v>
      </c>
      <c r="D132" s="220">
        <f>IF(OR(D116="Choose mgt fee",D116="Choose One!"),"",(D109+D110+D111+D112+D113) / -(D115+D116+D117))</f>
        <v>1.0199057516673451</v>
      </c>
      <c r="E132" s="220">
        <f>IF(OR(E116="Choose mgt fee",E116="Choose One!"),"",(E109+E110+E111+E112+E113) / -(E115+E116+E117))</f>
        <v>1.0100039133962453</v>
      </c>
      <c r="F132" s="498">
        <f>IF(OR(F116="Choose mgt fee",F116="Choose One!"),"",(F109+F110+F111+F112+F113) / -(F115+F116+F117))</f>
        <v>1.0001986437162622</v>
      </c>
      <c r="G132" s="13"/>
      <c r="H132" s="13"/>
      <c r="I132" s="13"/>
      <c r="J132" s="13"/>
      <c r="K132" s="13"/>
      <c r="N132" s="3559"/>
      <c r="O132" s="3561"/>
      <c r="Z132" s="1719" t="s">
        <v>6463</v>
      </c>
      <c r="AA132" s="1721">
        <v>132</v>
      </c>
    </row>
    <row r="133" spans="1:27" ht="13.35" customHeight="1">
      <c r="A133" s="341" t="s">
        <v>2405</v>
      </c>
      <c r="B133" s="177">
        <f>IF('Part II-Sources of Funds'!$I$40="","",-FV('Part II-Sources of Funds'!$K$40/12,12,B120/12,K103))</f>
        <v>523542.51793343073</v>
      </c>
      <c r="C133" s="177">
        <f>IF('Part II-Sources of Funds'!$I$40="","",-FV('Part II-Sources of Funds'!$K$40/12,12,C120/12,B133))</f>
        <v>510625.119674018</v>
      </c>
      <c r="D133" s="177">
        <f>IF('Part II-Sources of Funds'!$I$40="","",-FV('Part II-Sources of Funds'!$K$40/12,12,D120/12,C133))</f>
        <v>496773.92164998013</v>
      </c>
      <c r="E133" s="177">
        <f>IF('Part II-Sources of Funds'!$I$40="","",-FV('Part II-Sources of Funds'!$K$40/12,12,E120/12,D133))</f>
        <v>481921.41940082877</v>
      </c>
      <c r="F133" s="177">
        <f>IF('Part II-Sources of Funds'!$I$40="","",-FV('Part II-Sources of Funds'!$K$40/12,12,F120/12,E133))</f>
        <v>465995.22856316878</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7124</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1" zoomScale="90" zoomScaleNormal="90" workbookViewId="0">
      <selection activeCell="L31" sqref="L31"/>
    </sheetView>
  </sheetViews>
  <sheetFormatPr defaultColWidth="9.1328125" defaultRowHeight="20.25" customHeight="1"/>
  <cols>
    <col min="1" max="1" width="5.86328125" style="2030" customWidth="1"/>
    <col min="2" max="2" width="3.73046875" style="2030" customWidth="1"/>
    <col min="3" max="3" width="2.1328125" style="2030" customWidth="1"/>
    <col min="4" max="10" width="8.86328125" style="2030" customWidth="1"/>
    <col min="11" max="11" width="7.59765625" style="2030" customWidth="1"/>
    <col min="12" max="14" width="9.1328125" style="2030"/>
    <col min="15" max="16" width="9.3984375" style="2030" customWidth="1"/>
    <col min="17" max="17" width="9.1328125" style="2030"/>
    <col min="18" max="16384" width="9.1328125" style="2033"/>
  </cols>
  <sheetData>
    <row r="1" spans="1:17" s="2011" customFormat="1" ht="13.15">
      <c r="A1" s="3681" t="str">
        <f>CONCATENATE("PART SEVEN - THRESHOLD CRITERIA","  -  ",'Part I-Project Identification'!$O$7," ",'Part I-Project Identification'!$F$25,", ",'Part I-Project Identification'!F26,", ",'Part I-Project Identification'!J26," County")</f>
        <v>PART SEVEN - THRESHOLD CRITERIA  -  2023-0 Dogwood Trail Apartments II, Albany, Dougherty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6770</v>
      </c>
      <c r="Q3" s="3685" t="s">
        <v>6530</v>
      </c>
    </row>
    <row r="4" spans="1:17" s="2011" customFormat="1" ht="13.15">
      <c r="A4" s="2013"/>
      <c r="B4" s="3687"/>
      <c r="C4" s="3687"/>
      <c r="D4" s="3687"/>
      <c r="E4" s="2013"/>
      <c r="F4" s="2013"/>
      <c r="G4" s="2013"/>
      <c r="H4" s="2013"/>
      <c r="I4" s="2012"/>
      <c r="J4" s="2014"/>
      <c r="K4" s="2013"/>
      <c r="L4" s="2013"/>
      <c r="M4" s="2013"/>
      <c r="N4" s="2013"/>
      <c r="O4" s="2012"/>
      <c r="P4" s="3683"/>
      <c r="Q4" s="3685"/>
    </row>
    <row r="5" spans="1:17" s="2011" customFormat="1" ht="13.1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3.1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6771</v>
      </c>
      <c r="B7" s="3692"/>
      <c r="C7" s="3692"/>
      <c r="D7" s="3692"/>
      <c r="E7" s="3692"/>
      <c r="F7" s="3692"/>
      <c r="G7" s="3692"/>
      <c r="H7" s="3692"/>
      <c r="I7" s="3692"/>
      <c r="J7" s="3692"/>
      <c r="K7" s="3692"/>
      <c r="L7" s="3692"/>
      <c r="M7" s="3692"/>
      <c r="N7" s="3692"/>
      <c r="O7" s="3692"/>
      <c r="P7" s="3692"/>
      <c r="Q7" s="3692"/>
    </row>
    <row r="8" spans="1:17" s="2011" customFormat="1" ht="13.1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3"/>
      <c r="Q9" s="3694"/>
    </row>
    <row r="10" spans="1:17" s="2022" customFormat="1" ht="13.9">
      <c r="A10" s="2023" t="s">
        <v>3066</v>
      </c>
      <c r="B10" s="2019"/>
      <c r="C10" s="2019"/>
      <c r="D10" s="2019"/>
      <c r="E10" s="2019"/>
      <c r="F10" s="2019"/>
      <c r="G10" s="2019"/>
      <c r="H10" s="2024"/>
      <c r="I10" s="2025"/>
      <c r="J10" s="2025"/>
      <c r="K10" s="2024"/>
      <c r="L10" s="2024"/>
      <c r="M10" s="2026"/>
      <c r="N10" s="2026"/>
      <c r="O10" s="2019"/>
      <c r="P10" s="2019"/>
      <c r="Q10" s="2019"/>
    </row>
    <row r="11" spans="1:17" s="2022" customFormat="1" ht="13.5">
      <c r="A11" s="3695" t="s">
        <v>1329</v>
      </c>
      <c r="B11" s="3696"/>
      <c r="C11" s="3696"/>
      <c r="D11" s="3696"/>
      <c r="E11" s="3696"/>
      <c r="F11" s="3696"/>
      <c r="G11" s="3696"/>
      <c r="H11" s="3696"/>
      <c r="I11" s="3696"/>
      <c r="J11" s="3696"/>
      <c r="K11" s="3696"/>
      <c r="L11" s="3696"/>
      <c r="M11" s="3696"/>
      <c r="N11" s="3696"/>
      <c r="O11" s="3696"/>
      <c r="P11" s="3696"/>
      <c r="Q11" s="3697"/>
    </row>
    <row r="12" spans="1:17" s="2022" customFormat="1" ht="13.5">
      <c r="A12" s="3689" t="s">
        <v>218</v>
      </c>
      <c r="B12" s="3690"/>
      <c r="C12" s="3690"/>
      <c r="D12" s="3690"/>
      <c r="E12" s="3690"/>
      <c r="F12" s="3690"/>
      <c r="G12" s="3690"/>
      <c r="H12" s="3690"/>
      <c r="I12" s="3690"/>
      <c r="J12" s="3690"/>
      <c r="K12" s="3690"/>
      <c r="L12" s="3690"/>
      <c r="M12" s="3690"/>
      <c r="N12" s="3690"/>
      <c r="O12" s="3690"/>
      <c r="P12" s="3690"/>
      <c r="Q12" s="3691"/>
    </row>
    <row r="13" spans="1:17" s="2022" customFormat="1" ht="13.5">
      <c r="A13" s="3689" t="s">
        <v>1325</v>
      </c>
      <c r="B13" s="3690"/>
      <c r="C13" s="3690"/>
      <c r="D13" s="3690"/>
      <c r="E13" s="3690"/>
      <c r="F13" s="3690"/>
      <c r="G13" s="3690"/>
      <c r="H13" s="3690"/>
      <c r="I13" s="3690"/>
      <c r="J13" s="3690"/>
      <c r="K13" s="3690"/>
      <c r="L13" s="3690"/>
      <c r="M13" s="3690"/>
      <c r="N13" s="3690"/>
      <c r="O13" s="3690"/>
      <c r="P13" s="3690"/>
      <c r="Q13" s="3691"/>
    </row>
    <row r="14" spans="1:17" s="2022" customFormat="1" ht="13.5">
      <c r="A14" s="3689" t="s">
        <v>1326</v>
      </c>
      <c r="B14" s="3690"/>
      <c r="C14" s="3690"/>
      <c r="D14" s="3690"/>
      <c r="E14" s="3690"/>
      <c r="F14" s="3690"/>
      <c r="G14" s="3690"/>
      <c r="H14" s="3690"/>
      <c r="I14" s="3690"/>
      <c r="J14" s="3690"/>
      <c r="K14" s="3690"/>
      <c r="L14" s="3690"/>
      <c r="M14" s="3690"/>
      <c r="N14" s="3690"/>
      <c r="O14" s="3690"/>
      <c r="P14" s="3690"/>
      <c r="Q14" s="3691"/>
    </row>
    <row r="15" spans="1:17" s="2022" customFormat="1" ht="13.5">
      <c r="A15" s="3689" t="s">
        <v>1327</v>
      </c>
      <c r="B15" s="3690"/>
      <c r="C15" s="3690"/>
      <c r="D15" s="3690"/>
      <c r="E15" s="3690"/>
      <c r="F15" s="3690"/>
      <c r="G15" s="3690"/>
      <c r="H15" s="3690"/>
      <c r="I15" s="3690"/>
      <c r="J15" s="3690"/>
      <c r="K15" s="3690"/>
      <c r="L15" s="3690"/>
      <c r="M15" s="3690"/>
      <c r="N15" s="3690"/>
      <c r="O15" s="3690"/>
      <c r="P15" s="3690"/>
      <c r="Q15" s="3691"/>
    </row>
    <row r="16" spans="1:17" s="2022" customFormat="1" ht="13.5">
      <c r="A16" s="3689" t="s">
        <v>1328</v>
      </c>
      <c r="B16" s="3690"/>
      <c r="C16" s="3690"/>
      <c r="D16" s="3690"/>
      <c r="E16" s="3690"/>
      <c r="F16" s="3690"/>
      <c r="G16" s="3690"/>
      <c r="H16" s="3690"/>
      <c r="I16" s="3690"/>
      <c r="J16" s="3690"/>
      <c r="K16" s="3690"/>
      <c r="L16" s="3690"/>
      <c r="M16" s="3690"/>
      <c r="N16" s="3690"/>
      <c r="O16" s="3690"/>
      <c r="P16" s="3690"/>
      <c r="Q16" s="3691"/>
    </row>
    <row r="17" spans="1:17" s="2022" customFormat="1" ht="13.5">
      <c r="A17" s="3689" t="s">
        <v>1330</v>
      </c>
      <c r="B17" s="3690"/>
      <c r="C17" s="3690"/>
      <c r="D17" s="3690"/>
      <c r="E17" s="3690"/>
      <c r="F17" s="3690"/>
      <c r="G17" s="3690"/>
      <c r="H17" s="3690"/>
      <c r="I17" s="3690"/>
      <c r="J17" s="3690"/>
      <c r="K17" s="3690"/>
      <c r="L17" s="3690"/>
      <c r="M17" s="3690"/>
      <c r="N17" s="3690"/>
      <c r="O17" s="3690"/>
      <c r="P17" s="3690"/>
      <c r="Q17" s="3691"/>
    </row>
    <row r="18" spans="1:17" s="2022" customFormat="1" ht="13.5">
      <c r="A18" s="3689" t="s">
        <v>1872</v>
      </c>
      <c r="B18" s="3690"/>
      <c r="C18" s="3690"/>
      <c r="D18" s="3690"/>
      <c r="E18" s="3690"/>
      <c r="F18" s="3690"/>
      <c r="G18" s="3690"/>
      <c r="H18" s="3690"/>
      <c r="I18" s="3690"/>
      <c r="J18" s="3690"/>
      <c r="K18" s="3690"/>
      <c r="L18" s="3690"/>
      <c r="M18" s="3690"/>
      <c r="N18" s="3690"/>
      <c r="O18" s="3690"/>
      <c r="P18" s="3690"/>
      <c r="Q18" s="3691"/>
    </row>
    <row r="19" spans="1:17" s="2022" customFormat="1" ht="13.5">
      <c r="A19" s="3689" t="s">
        <v>1873</v>
      </c>
      <c r="B19" s="3690"/>
      <c r="C19" s="3690"/>
      <c r="D19" s="3690"/>
      <c r="E19" s="3690"/>
      <c r="F19" s="3690"/>
      <c r="G19" s="3690"/>
      <c r="H19" s="3690"/>
      <c r="I19" s="3690"/>
      <c r="J19" s="3690"/>
      <c r="K19" s="3690"/>
      <c r="L19" s="3690"/>
      <c r="M19" s="3690"/>
      <c r="N19" s="3690"/>
      <c r="O19" s="3690"/>
      <c r="P19" s="3690"/>
      <c r="Q19" s="3691"/>
    </row>
    <row r="20" spans="1:17" s="2022" customFormat="1" ht="13.5">
      <c r="A20" s="3689" t="s">
        <v>1874</v>
      </c>
      <c r="B20" s="3690"/>
      <c r="C20" s="3690"/>
      <c r="D20" s="3690"/>
      <c r="E20" s="3690"/>
      <c r="F20" s="3690"/>
      <c r="G20" s="3690"/>
      <c r="H20" s="3690"/>
      <c r="I20" s="3690"/>
      <c r="J20" s="3690"/>
      <c r="K20" s="3690"/>
      <c r="L20" s="3690"/>
      <c r="M20" s="3690"/>
      <c r="N20" s="3690"/>
      <c r="O20" s="3690"/>
      <c r="P20" s="3690"/>
      <c r="Q20" s="3691"/>
    </row>
    <row r="21" spans="1:17" s="2022" customFormat="1" ht="13.5">
      <c r="A21" s="3689" t="s">
        <v>1875</v>
      </c>
      <c r="B21" s="3690"/>
      <c r="C21" s="3690"/>
      <c r="D21" s="3690"/>
      <c r="E21" s="3690"/>
      <c r="F21" s="3690"/>
      <c r="G21" s="3690"/>
      <c r="H21" s="3690"/>
      <c r="I21" s="3690"/>
      <c r="J21" s="3690"/>
      <c r="K21" s="3690"/>
      <c r="L21" s="3690"/>
      <c r="M21" s="3690"/>
      <c r="N21" s="3690"/>
      <c r="O21" s="3690"/>
      <c r="P21" s="3690"/>
      <c r="Q21" s="3691"/>
    </row>
    <row r="22" spans="1:17" s="2022" customFormat="1" ht="13.5">
      <c r="A22" s="3689" t="s">
        <v>1876</v>
      </c>
      <c r="B22" s="3690"/>
      <c r="C22" s="3690"/>
      <c r="D22" s="3690"/>
      <c r="E22" s="3690"/>
      <c r="F22" s="3690"/>
      <c r="G22" s="3690"/>
      <c r="H22" s="3690"/>
      <c r="I22" s="3690"/>
      <c r="J22" s="3690"/>
      <c r="K22" s="3690"/>
      <c r="L22" s="3690"/>
      <c r="M22" s="3690"/>
      <c r="N22" s="3690"/>
      <c r="O22" s="3690"/>
      <c r="P22" s="3690"/>
      <c r="Q22" s="3691"/>
    </row>
    <row r="23" spans="1:17" s="2022" customFormat="1" ht="13.5">
      <c r="A23" s="3689" t="s">
        <v>1877</v>
      </c>
      <c r="B23" s="3690"/>
      <c r="C23" s="3690"/>
      <c r="D23" s="3690"/>
      <c r="E23" s="3690"/>
      <c r="F23" s="3690"/>
      <c r="G23" s="3690"/>
      <c r="H23" s="3690"/>
      <c r="I23" s="3690"/>
      <c r="J23" s="3690"/>
      <c r="K23" s="3690"/>
      <c r="L23" s="3690"/>
      <c r="M23" s="3690"/>
      <c r="N23" s="3690"/>
      <c r="O23" s="3690"/>
      <c r="P23" s="3690"/>
      <c r="Q23" s="3691"/>
    </row>
    <row r="24" spans="1:17" s="2022" customFormat="1" ht="13.5">
      <c r="A24" s="3689" t="s">
        <v>1878</v>
      </c>
      <c r="B24" s="3690"/>
      <c r="C24" s="3690"/>
      <c r="D24" s="3690"/>
      <c r="E24" s="3690"/>
      <c r="F24" s="3690"/>
      <c r="G24" s="3690"/>
      <c r="H24" s="3690"/>
      <c r="I24" s="3690"/>
      <c r="J24" s="3690"/>
      <c r="K24" s="3690"/>
      <c r="L24" s="3690"/>
      <c r="M24" s="3690"/>
      <c r="N24" s="3690"/>
      <c r="O24" s="3690"/>
      <c r="P24" s="3690"/>
      <c r="Q24" s="3691"/>
    </row>
    <row r="25" spans="1:17" s="2022" customFormat="1" ht="13.5">
      <c r="A25" s="3689" t="s">
        <v>1879</v>
      </c>
      <c r="B25" s="3690"/>
      <c r="C25" s="3690"/>
      <c r="D25" s="3690"/>
      <c r="E25" s="3690"/>
      <c r="F25" s="3690"/>
      <c r="G25" s="3690"/>
      <c r="H25" s="3690"/>
      <c r="I25" s="3690"/>
      <c r="J25" s="3690"/>
      <c r="K25" s="3690"/>
      <c r="L25" s="3690"/>
      <c r="M25" s="3690"/>
      <c r="N25" s="3690"/>
      <c r="O25" s="3690"/>
      <c r="P25" s="3690"/>
      <c r="Q25" s="3691"/>
    </row>
    <row r="26" spans="1:17" s="2022" customFormat="1" ht="13.5">
      <c r="A26" s="3689" t="s">
        <v>1880</v>
      </c>
      <c r="B26" s="3690"/>
      <c r="C26" s="3690"/>
      <c r="D26" s="3690"/>
      <c r="E26" s="3690"/>
      <c r="F26" s="3690"/>
      <c r="G26" s="3690"/>
      <c r="H26" s="3690"/>
      <c r="I26" s="3690"/>
      <c r="J26" s="3690"/>
      <c r="K26" s="3690"/>
      <c r="L26" s="3690"/>
      <c r="M26" s="3690"/>
      <c r="N26" s="3690"/>
      <c r="O26" s="3690"/>
      <c r="P26" s="3690"/>
      <c r="Q26" s="3691"/>
    </row>
    <row r="27" spans="1:17" s="2022" customFormat="1" ht="13.5">
      <c r="A27" s="3689" t="s">
        <v>1881</v>
      </c>
      <c r="B27" s="3690"/>
      <c r="C27" s="3690"/>
      <c r="D27" s="3690"/>
      <c r="E27" s="3690"/>
      <c r="F27" s="3690"/>
      <c r="G27" s="3690"/>
      <c r="H27" s="3690"/>
      <c r="I27" s="3690"/>
      <c r="J27" s="3690"/>
      <c r="K27" s="3690"/>
      <c r="L27" s="3690"/>
      <c r="M27" s="3690"/>
      <c r="N27" s="3690"/>
      <c r="O27" s="3690"/>
      <c r="P27" s="3690"/>
      <c r="Q27" s="3691"/>
    </row>
    <row r="28" spans="1:17" s="2022" customFormat="1" ht="13.5">
      <c r="A28" s="3698" t="s">
        <v>1882</v>
      </c>
      <c r="B28" s="3699"/>
      <c r="C28" s="3699"/>
      <c r="D28" s="3699"/>
      <c r="E28" s="3699"/>
      <c r="F28" s="3699"/>
      <c r="G28" s="3699"/>
      <c r="H28" s="3699"/>
      <c r="I28" s="3699"/>
      <c r="J28" s="3699"/>
      <c r="K28" s="3699"/>
      <c r="L28" s="3699"/>
      <c r="M28" s="3699"/>
      <c r="N28" s="3699"/>
      <c r="O28" s="3699"/>
      <c r="P28" s="3699"/>
      <c r="Q28" s="3700"/>
    </row>
    <row r="29" spans="1:17" s="2022" customFormat="1" ht="13.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1"/>
      <c r="Q31" s="3702"/>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703" t="s">
        <v>7102</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6774</v>
      </c>
      <c r="C39" s="3719"/>
      <c r="D39" s="3719"/>
      <c r="E39" s="3719"/>
      <c r="F39" s="3719"/>
      <c r="G39" s="3719"/>
      <c r="H39" s="3719"/>
      <c r="I39" s="3719"/>
      <c r="J39" s="3719"/>
      <c r="K39" s="3719"/>
      <c r="L39" s="3719"/>
      <c r="M39" s="3719"/>
      <c r="N39" s="3719"/>
      <c r="O39" s="3719"/>
      <c r="P39" s="3720" t="s">
        <v>2649</v>
      </c>
      <c r="Q39" s="3721"/>
    </row>
    <row r="40" spans="1:17" ht="20.25" customHeight="1">
      <c r="B40" s="2045" t="s">
        <v>3239</v>
      </c>
      <c r="D40" s="2045"/>
      <c r="E40" s="2045"/>
      <c r="F40" s="2045"/>
      <c r="G40" s="2045"/>
      <c r="H40" s="2043"/>
      <c r="I40" s="2031"/>
      <c r="J40" s="2031"/>
    </row>
    <row r="41" spans="1:17" ht="20.25" customHeight="1">
      <c r="A41" s="3722" t="s">
        <v>7103</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6775</v>
      </c>
      <c r="C47" s="2042"/>
      <c r="D47" s="2036"/>
      <c r="E47" s="2036"/>
      <c r="F47" s="2036"/>
      <c r="G47" s="2036"/>
      <c r="H47" s="2036"/>
      <c r="I47" s="2036"/>
      <c r="J47" s="2036"/>
      <c r="L47" s="2051"/>
      <c r="M47" s="2052"/>
      <c r="O47" s="2032"/>
      <c r="P47" s="3720" t="s">
        <v>2649</v>
      </c>
      <c r="Q47" s="3721"/>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03" t="s">
        <v>7068</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7043</v>
      </c>
      <c r="J53" s="3714"/>
      <c r="K53" s="3714"/>
      <c r="L53" s="3714"/>
      <c r="M53" s="3714"/>
      <c r="N53" s="3714"/>
      <c r="O53" s="3714"/>
      <c r="P53" s="3714"/>
      <c r="Q53" s="3715"/>
    </row>
    <row r="54" spans="1:17" ht="20.25" customHeight="1">
      <c r="A54" s="2053"/>
      <c r="B54" s="2030" t="s">
        <v>6776</v>
      </c>
      <c r="D54" s="2056"/>
      <c r="E54" s="2056"/>
      <c r="F54" s="2056"/>
      <c r="I54" s="3716">
        <v>0.874</v>
      </c>
      <c r="J54" s="3717"/>
      <c r="K54" s="3718"/>
      <c r="L54" s="2044"/>
      <c r="M54" s="2057"/>
      <c r="N54" s="2057"/>
      <c r="O54" s="2057"/>
      <c r="P54" s="2057"/>
      <c r="Q54" s="2026"/>
    </row>
    <row r="55" spans="1:17" ht="20.25" customHeight="1">
      <c r="A55" s="2053"/>
      <c r="B55" s="2030" t="s">
        <v>6777</v>
      </c>
      <c r="D55" s="2056"/>
      <c r="E55" s="2056"/>
      <c r="F55" s="2056"/>
      <c r="H55" s="2044" t="s">
        <v>6778</v>
      </c>
      <c r="I55" s="3716">
        <v>6.5000000000000002E-2</v>
      </c>
      <c r="J55" s="3717"/>
      <c r="K55" s="3718"/>
      <c r="L55" s="2058"/>
      <c r="M55" s="2059" t="s">
        <v>6779</v>
      </c>
      <c r="N55" s="3734" t="s">
        <v>906</v>
      </c>
      <c r="O55" s="3718"/>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03" t="s">
        <v>7104</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6780</v>
      </c>
      <c r="I63" s="2062"/>
      <c r="J63" s="3734" t="s">
        <v>7054</v>
      </c>
      <c r="K63" s="3734"/>
      <c r="L63" s="3734"/>
      <c r="M63" s="3734"/>
      <c r="N63" s="3734"/>
      <c r="O63" s="3734"/>
      <c r="P63" s="3734"/>
      <c r="Q63" s="3737"/>
    </row>
    <row r="64" spans="1:17" ht="20.25" customHeight="1">
      <c r="A64" s="2053"/>
      <c r="B64" s="2030" t="s">
        <v>3947</v>
      </c>
      <c r="O64" s="2044"/>
      <c r="P64" s="2065" t="s">
        <v>2649</v>
      </c>
      <c r="Q64" s="2066"/>
    </row>
    <row r="65" spans="1:17" ht="33" customHeight="1">
      <c r="B65" s="2042"/>
      <c r="C65" s="3711" t="s">
        <v>6781</v>
      </c>
      <c r="D65" s="3711"/>
      <c r="E65" s="3711"/>
      <c r="F65" s="3711"/>
      <c r="G65" s="3711"/>
      <c r="H65" s="3711"/>
      <c r="I65" s="3711"/>
      <c r="J65" s="3711"/>
      <c r="K65" s="3711"/>
      <c r="L65" s="3711"/>
      <c r="M65" s="3711"/>
      <c r="N65" s="3711"/>
      <c r="O65" s="3711"/>
      <c r="P65" s="2065" t="s">
        <v>2649</v>
      </c>
      <c r="Q65" s="2066"/>
    </row>
    <row r="66" spans="1:17" ht="33" customHeight="1">
      <c r="A66" s="2053"/>
      <c r="B66" s="2042"/>
      <c r="C66" s="3711" t="s">
        <v>6782</v>
      </c>
      <c r="D66" s="3711"/>
      <c r="E66" s="3711"/>
      <c r="F66" s="3711"/>
      <c r="G66" s="3711"/>
      <c r="H66" s="3711"/>
      <c r="I66" s="3711"/>
      <c r="J66" s="3711"/>
      <c r="K66" s="3711"/>
      <c r="L66" s="3711"/>
      <c r="M66" s="3711"/>
      <c r="N66" s="3711"/>
      <c r="O66" s="3711"/>
      <c r="P66" s="2067" t="s">
        <v>7053</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22" t="s">
        <v>7105</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6783</v>
      </c>
      <c r="C74" s="3711"/>
      <c r="D74" s="3711"/>
      <c r="E74" s="3711"/>
      <c r="F74" s="3711"/>
      <c r="G74" s="3711"/>
      <c r="H74" s="3711"/>
      <c r="I74" s="3711"/>
      <c r="J74" s="3711"/>
      <c r="K74" s="3712"/>
      <c r="L74" s="3730" t="s">
        <v>7044</v>
      </c>
      <c r="M74" s="3731"/>
      <c r="N74" s="3731"/>
      <c r="O74" s="3731"/>
      <c r="P74" s="3732"/>
      <c r="Q74" s="3733"/>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2652</v>
      </c>
      <c r="Q81" s="2068"/>
    </row>
    <row r="82" spans="1:23" ht="32.25" customHeight="1">
      <c r="A82" s="2053"/>
      <c r="B82" s="3739" t="s">
        <v>6790</v>
      </c>
      <c r="C82" s="3739"/>
      <c r="D82" s="3739"/>
      <c r="E82" s="3739"/>
      <c r="F82" s="3739"/>
      <c r="G82" s="3739"/>
      <c r="H82" s="3739"/>
      <c r="I82" s="3739"/>
      <c r="J82" s="3739"/>
      <c r="K82" s="3739"/>
      <c r="L82" s="3739"/>
      <c r="M82" s="3739"/>
      <c r="N82" s="3739"/>
      <c r="O82" s="3739"/>
      <c r="P82" s="3739"/>
      <c r="Q82" s="3739"/>
    </row>
    <row r="83" spans="1:23" ht="20.25" customHeight="1">
      <c r="B83" s="3734"/>
      <c r="C83" s="3734"/>
      <c r="D83" s="3734"/>
      <c r="E83" s="3734"/>
      <c r="F83" s="3734"/>
      <c r="G83" s="3734"/>
      <c r="H83" s="3734"/>
      <c r="I83" s="3734"/>
      <c r="J83" s="3734"/>
      <c r="K83" s="3734"/>
      <c r="L83" s="3734"/>
      <c r="M83" s="3734"/>
      <c r="N83" s="3734"/>
      <c r="O83" s="3734"/>
      <c r="P83" s="3734"/>
      <c r="Q83" s="3737"/>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3" t="s">
        <v>7106</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7045</v>
      </c>
      <c r="M91" s="3741"/>
      <c r="N91" s="3742"/>
      <c r="O91" s="3706" t="s">
        <v>1646</v>
      </c>
      <c r="P91" s="3743"/>
      <c r="Q91" s="3744"/>
    </row>
    <row r="92" spans="1:23" ht="20.25" customHeight="1">
      <c r="A92" s="2053"/>
      <c r="B92" s="2030" t="s">
        <v>636</v>
      </c>
      <c r="G92" s="3734" t="s">
        <v>7055</v>
      </c>
      <c r="H92" s="3734"/>
      <c r="I92" s="3734"/>
      <c r="J92" s="3734"/>
      <c r="K92" s="3734"/>
      <c r="L92" s="3734"/>
      <c r="M92" s="3734"/>
      <c r="N92" s="3734"/>
      <c r="O92" s="3734"/>
      <c r="P92" s="3734"/>
      <c r="Q92" s="3737"/>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03" t="s">
        <v>7056</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3" t="s">
        <v>7057</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3" t="s">
        <v>7058</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6791</v>
      </c>
      <c r="H114" s="2030" t="s">
        <v>6792</v>
      </c>
      <c r="J114" s="3749" t="s">
        <v>7059</v>
      </c>
      <c r="K114" s="3750"/>
      <c r="L114" s="3750"/>
      <c r="M114" s="3750"/>
      <c r="N114" s="3750"/>
      <c r="O114" s="3750"/>
      <c r="P114" s="3750"/>
      <c r="Q114" s="3751"/>
    </row>
    <row r="115" spans="1:21" ht="20.25" customHeight="1">
      <c r="A115" s="2053"/>
      <c r="B115" s="2053"/>
      <c r="H115" s="2030" t="s">
        <v>6793</v>
      </c>
      <c r="J115" s="3746" t="s">
        <v>7059</v>
      </c>
      <c r="K115" s="3747"/>
      <c r="L115" s="3747"/>
      <c r="M115" s="3747"/>
      <c r="N115" s="3747"/>
      <c r="O115" s="3747"/>
      <c r="P115" s="3747"/>
      <c r="Q115" s="3748"/>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3" t="s">
        <v>7060</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6795</v>
      </c>
      <c r="H123" s="2030" t="s">
        <v>6796</v>
      </c>
      <c r="J123" s="3749" t="s">
        <v>7059</v>
      </c>
      <c r="K123" s="3750"/>
      <c r="L123" s="3750"/>
      <c r="M123" s="3750"/>
      <c r="N123" s="3750"/>
      <c r="O123" s="3750"/>
      <c r="P123" s="3750"/>
      <c r="Q123" s="3751"/>
      <c r="R123" s="2084"/>
    </row>
    <row r="124" spans="1:21" ht="20.25" customHeight="1">
      <c r="A124" s="2083"/>
      <c r="B124" s="2053"/>
      <c r="H124" s="2030" t="s">
        <v>6797</v>
      </c>
      <c r="J124" s="3746" t="s">
        <v>7059</v>
      </c>
      <c r="K124" s="3747"/>
      <c r="L124" s="3747"/>
      <c r="M124" s="3747"/>
      <c r="N124" s="3747"/>
      <c r="O124" s="3747"/>
      <c r="P124" s="3747"/>
      <c r="Q124" s="3748"/>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3" t="s">
        <v>7069</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6798</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2" t="s">
        <v>7046</v>
      </c>
      <c r="N134" s="3753"/>
      <c r="O134" s="3753"/>
      <c r="P134" s="3753"/>
      <c r="Q134" s="3754"/>
    </row>
    <row r="135" spans="1:17" ht="20.25" customHeight="1">
      <c r="A135" s="2053"/>
      <c r="B135" s="2043"/>
      <c r="C135" s="2043" t="s">
        <v>6717</v>
      </c>
      <c r="E135" s="2043"/>
      <c r="F135" s="2043"/>
      <c r="G135" s="2043"/>
      <c r="H135" s="2043"/>
      <c r="J135" s="2044"/>
      <c r="K135" s="2033"/>
      <c r="L135" s="2033"/>
      <c r="M135" s="3755" t="s">
        <v>7061</v>
      </c>
      <c r="N135" s="3756"/>
      <c r="O135" s="3756"/>
      <c r="P135" s="3756"/>
      <c r="Q135" s="3757"/>
    </row>
    <row r="136" spans="1:17" ht="20.25" customHeight="1">
      <c r="A136" s="2053"/>
      <c r="B136" s="2043"/>
      <c r="C136" s="3758" t="s">
        <v>6192</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3785</v>
      </c>
      <c r="E137" s="2043"/>
      <c r="F137" s="2043"/>
      <c r="G137" s="2043"/>
      <c r="H137" s="2043"/>
      <c r="J137" s="2044"/>
      <c r="K137" s="2033"/>
      <c r="L137" s="2033"/>
      <c r="M137" s="3746" t="s">
        <v>7047</v>
      </c>
      <c r="N137" s="3747"/>
      <c r="O137" s="3747"/>
      <c r="P137" s="3747"/>
      <c r="Q137" s="3748"/>
    </row>
    <row r="138" spans="1:17" ht="20.25" customHeight="1">
      <c r="A138" s="2053" t="s">
        <v>1843</v>
      </c>
      <c r="B138" s="3711" t="s">
        <v>6800</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6801</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3849</v>
      </c>
      <c r="D140" s="3768"/>
      <c r="E140" s="3768"/>
      <c r="F140" s="3768"/>
      <c r="G140" s="3768"/>
      <c r="H140" s="3769"/>
      <c r="I140" s="2033"/>
      <c r="J140" s="3779" t="s">
        <v>6802</v>
      </c>
      <c r="K140" s="3780"/>
      <c r="L140" s="3780"/>
      <c r="M140" s="3780"/>
      <c r="N140" s="3780"/>
      <c r="O140" s="3780"/>
      <c r="P140" s="3780"/>
      <c r="Q140" s="3781"/>
    </row>
    <row r="141" spans="1:17" ht="15.75" customHeight="1">
      <c r="A141" s="2026"/>
      <c r="B141" s="2078" t="s">
        <v>1615</v>
      </c>
      <c r="C141" s="3770" t="s">
        <v>3898</v>
      </c>
      <c r="D141" s="3771"/>
      <c r="E141" s="3771"/>
      <c r="F141" s="3771"/>
      <c r="G141" s="3771"/>
      <c r="H141" s="3772"/>
      <c r="I141" s="2033"/>
      <c r="J141" s="3776" t="s">
        <v>6802</v>
      </c>
      <c r="K141" s="3777"/>
      <c r="L141" s="3777"/>
      <c r="M141" s="3777"/>
      <c r="N141" s="3777"/>
      <c r="O141" s="3777"/>
      <c r="P141" s="3777"/>
      <c r="Q141" s="3778"/>
    </row>
    <row r="142" spans="1:17" ht="15.75" customHeight="1">
      <c r="A142" s="2026"/>
      <c r="B142" s="2078" t="s">
        <v>1616</v>
      </c>
      <c r="C142" s="3770" t="s">
        <v>950</v>
      </c>
      <c r="D142" s="3771"/>
      <c r="E142" s="3771"/>
      <c r="F142" s="3771"/>
      <c r="G142" s="3771"/>
      <c r="H142" s="3772"/>
      <c r="I142" s="2033"/>
      <c r="J142" s="3776" t="s">
        <v>6802</v>
      </c>
      <c r="K142" s="3777"/>
      <c r="L142" s="3777"/>
      <c r="M142" s="3777"/>
      <c r="N142" s="3777"/>
      <c r="O142" s="3777"/>
      <c r="P142" s="3777"/>
      <c r="Q142" s="3778"/>
    </row>
    <row r="143" spans="1:17" ht="15.75" customHeight="1">
      <c r="A143" s="2026"/>
      <c r="B143" s="2078" t="s">
        <v>2182</v>
      </c>
      <c r="C143" s="3762" t="s">
        <v>950</v>
      </c>
      <c r="D143" s="3763"/>
      <c r="E143" s="3763"/>
      <c r="F143" s="3763"/>
      <c r="G143" s="3763"/>
      <c r="H143" s="3764"/>
      <c r="I143" s="2033"/>
      <c r="J143" s="3773" t="s">
        <v>6802</v>
      </c>
      <c r="K143" s="3774"/>
      <c r="L143" s="3774"/>
      <c r="M143" s="3774"/>
      <c r="N143" s="3774"/>
      <c r="O143" s="3774"/>
      <c r="P143" s="3774"/>
      <c r="Q143" s="377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3" t="s">
        <v>7107</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6803</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1806</v>
      </c>
      <c r="G153" s="2033"/>
      <c r="H153" s="3793"/>
      <c r="I153" s="3794"/>
      <c r="J153" s="3794"/>
      <c r="K153" s="3794"/>
      <c r="L153" s="3794"/>
      <c r="M153" s="3794"/>
      <c r="N153" s="3794"/>
      <c r="O153" s="3794"/>
      <c r="P153" s="3794"/>
      <c r="Q153" s="3795"/>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3" t="s">
        <v>7048</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3" t="s">
        <v>7062</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6197</v>
      </c>
      <c r="G168" s="2033"/>
      <c r="J168" s="2033"/>
      <c r="K168" s="2033"/>
      <c r="L168" s="2033"/>
      <c r="M168" s="2033"/>
      <c r="N168" s="2033"/>
      <c r="O168" s="2044"/>
      <c r="P168" s="2033"/>
      <c r="Q168" s="2033"/>
    </row>
    <row r="169" spans="1:17" ht="33" customHeight="1">
      <c r="B169" s="3786" t="s">
        <v>6804</v>
      </c>
      <c r="C169" s="3786"/>
      <c r="D169" s="3786"/>
      <c r="E169" s="3786"/>
      <c r="F169" s="3786"/>
      <c r="G169" s="3786"/>
      <c r="H169" s="3786"/>
      <c r="I169" s="3786"/>
      <c r="J169" s="3786"/>
      <c r="K169" s="3786"/>
      <c r="L169" s="3786"/>
      <c r="M169" s="3786"/>
      <c r="N169" s="3786"/>
      <c r="O169" s="3796"/>
      <c r="P169" s="3782" t="s">
        <v>7063</v>
      </c>
      <c r="Q169" s="3783"/>
    </row>
    <row r="170" spans="1:17" ht="20.25" customHeight="1">
      <c r="A170" s="2053" t="s">
        <v>1843</v>
      </c>
      <c r="B170" s="2029" t="s">
        <v>297</v>
      </c>
      <c r="G170" s="2033"/>
      <c r="H170" s="3784" t="s">
        <v>3253</v>
      </c>
      <c r="I170" s="3784"/>
      <c r="J170" s="3784"/>
      <c r="K170" s="3784"/>
      <c r="L170" s="3784"/>
      <c r="M170" s="3784"/>
      <c r="N170" s="3784"/>
      <c r="O170" s="3784"/>
      <c r="P170" s="3785"/>
      <c r="Q170" s="378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6" t="s">
        <v>6198</v>
      </c>
      <c r="C172" s="3786"/>
      <c r="D172" s="3786"/>
      <c r="E172" s="3786"/>
      <c r="F172" s="3786"/>
      <c r="G172" s="3786"/>
      <c r="H172" s="3786"/>
      <c r="I172" s="3786"/>
      <c r="J172" s="3786"/>
      <c r="K172" s="3786"/>
      <c r="L172" s="3786"/>
      <c r="M172" s="3786"/>
      <c r="N172" s="2439" t="s">
        <v>6199</v>
      </c>
      <c r="O172" s="2078" t="s">
        <v>698</v>
      </c>
      <c r="P172" s="3787" t="s">
        <v>7063</v>
      </c>
      <c r="Q172" s="3788"/>
    </row>
    <row r="173" spans="1:17" ht="20.25" customHeight="1">
      <c r="B173" s="2060" t="s">
        <v>3239</v>
      </c>
      <c r="M173" s="2031"/>
      <c r="N173" s="2031"/>
      <c r="O173" s="2088"/>
      <c r="P173" s="2026"/>
    </row>
    <row r="174" spans="1:17" ht="20.25" customHeight="1">
      <c r="A174" s="3703" t="s">
        <v>7064</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5"/>
      <c r="Q179" s="3803"/>
    </row>
    <row r="180" spans="1:17" ht="20.25" customHeight="1">
      <c r="A180" s="2033"/>
      <c r="B180" s="2030" t="s">
        <v>6803</v>
      </c>
      <c r="C180" s="2033"/>
      <c r="D180" s="2033"/>
      <c r="E180" s="2033"/>
      <c r="F180" s="2033"/>
      <c r="G180" s="2033"/>
      <c r="H180" s="2033"/>
      <c r="I180" s="2033"/>
      <c r="J180" s="2033"/>
      <c r="K180" s="2033"/>
      <c r="L180" s="2033"/>
      <c r="M180" s="2033"/>
      <c r="N180" s="2031"/>
      <c r="O180" s="2033"/>
      <c r="P180" s="3765" t="s">
        <v>2652</v>
      </c>
      <c r="Q180" s="3798"/>
    </row>
    <row r="181" spans="1:17" ht="33.75" customHeight="1">
      <c r="A181" s="2033"/>
      <c r="B181" s="3711" t="s">
        <v>6805</v>
      </c>
      <c r="C181" s="3711"/>
      <c r="D181" s="3711"/>
      <c r="E181" s="3711"/>
      <c r="F181" s="3711"/>
      <c r="G181" s="3711"/>
      <c r="H181" s="3711"/>
      <c r="I181" s="3711"/>
      <c r="J181" s="3711"/>
      <c r="K181" s="3711"/>
      <c r="L181" s="3711"/>
      <c r="M181" s="3711"/>
      <c r="N181" s="3711"/>
      <c r="O181" s="3711"/>
      <c r="P181" s="3801" t="s">
        <v>7063</v>
      </c>
      <c r="Q181" s="3804"/>
    </row>
    <row r="182" spans="1:17" ht="12" customHeight="1">
      <c r="A182" s="2033"/>
      <c r="C182" s="2033"/>
      <c r="D182" s="2033"/>
      <c r="E182" s="2033"/>
      <c r="F182" s="2033"/>
      <c r="G182" s="2033"/>
      <c r="H182" s="2033"/>
      <c r="I182" s="2033"/>
      <c r="J182" s="2033"/>
      <c r="K182" s="2033"/>
      <c r="L182" s="3797" t="s">
        <v>6806</v>
      </c>
      <c r="M182" s="3797"/>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2</v>
      </c>
      <c r="M184" s="2095">
        <f>'DCA Underwriting Assumptions'!$Q$122</f>
        <v>0.05</v>
      </c>
      <c r="N184" s="2033"/>
      <c r="O184" s="2044"/>
      <c r="P184" s="3765">
        <v>2</v>
      </c>
      <c r="Q184" s="3798"/>
    </row>
    <row r="185" spans="1:17" ht="20.25" customHeight="1">
      <c r="A185" s="2053"/>
      <c r="B185" s="2043"/>
      <c r="D185" s="3711" t="s">
        <v>6810</v>
      </c>
      <c r="E185" s="3711"/>
      <c r="F185" s="3711"/>
      <c r="G185" s="3711"/>
      <c r="H185" s="3711"/>
      <c r="I185" s="3711"/>
      <c r="J185" s="3711"/>
      <c r="K185" s="2093"/>
      <c r="L185" s="2096">
        <f>ROUNDUP(L184*M185,0)</f>
        <v>1</v>
      </c>
      <c r="M185" s="2095">
        <f>'DCA Underwriting Assumptions'!$Q$123</f>
        <v>0.4</v>
      </c>
      <c r="N185" s="2033"/>
      <c r="O185" s="2044"/>
      <c r="P185" s="3799">
        <v>2</v>
      </c>
      <c r="Q185" s="3800"/>
    </row>
    <row r="186" spans="1:17" ht="20.25" customHeight="1">
      <c r="A186" s="2053"/>
      <c r="B186" s="3711" t="s">
        <v>6811</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1">
        <v>1</v>
      </c>
      <c r="Q186" s="3802"/>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3" t="s">
        <v>7108</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6803</v>
      </c>
      <c r="P194" s="3765" t="s">
        <v>2652</v>
      </c>
      <c r="Q194" s="3798"/>
    </row>
    <row r="195" spans="1:17" ht="36" customHeight="1">
      <c r="B195" s="3711" t="s">
        <v>6812</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6911</v>
      </c>
      <c r="D197" s="3786"/>
      <c r="E197" s="3786"/>
      <c r="F197" s="3713" t="s">
        <v>6304</v>
      </c>
      <c r="G197" s="3714"/>
      <c r="H197" s="3714"/>
      <c r="I197" s="3714"/>
      <c r="J197" s="3714"/>
      <c r="K197" s="3714"/>
      <c r="L197" s="3714"/>
      <c r="M197" s="3714"/>
      <c r="N197" s="3714"/>
      <c r="O197" s="3714"/>
      <c r="P197" s="3714"/>
      <c r="Q197" s="3715"/>
    </row>
    <row r="198" spans="1:17" ht="30" customHeight="1">
      <c r="B198" s="2078" t="s">
        <v>1615</v>
      </c>
      <c r="C198" s="3786" t="s">
        <v>6912</v>
      </c>
      <c r="D198" s="3786"/>
      <c r="E198" s="3786"/>
      <c r="F198" s="3786"/>
      <c r="G198" s="3796"/>
      <c r="H198" s="3713" t="s">
        <v>3248</v>
      </c>
      <c r="I198" s="3714"/>
      <c r="J198" s="3714"/>
      <c r="K198" s="3714"/>
      <c r="L198" s="3714"/>
      <c r="M198" s="3714"/>
      <c r="N198" s="3714"/>
      <c r="O198" s="3714"/>
      <c r="P198" s="3714"/>
      <c r="Q198" s="3715"/>
    </row>
    <row r="199" spans="1:17" ht="20.25" customHeight="1">
      <c r="A199" s="2053"/>
      <c r="B199" s="2078" t="s">
        <v>1616</v>
      </c>
      <c r="C199" s="3711" t="s">
        <v>6813</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3" t="s">
        <v>7109</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5"/>
      <c r="Q208" s="3803"/>
    </row>
    <row r="209" spans="1:17" ht="20.25" customHeight="1">
      <c r="A209" s="2053"/>
      <c r="B209" s="2030" t="s">
        <v>6814</v>
      </c>
      <c r="O209" s="2044"/>
      <c r="P209" s="3811" t="s">
        <v>7065</v>
      </c>
      <c r="Q209" s="3812"/>
    </row>
    <row r="210" spans="1:17" ht="20.25" customHeight="1">
      <c r="A210" s="2053"/>
      <c r="B210" s="2030" t="s">
        <v>6815</v>
      </c>
      <c r="O210" s="2044"/>
      <c r="P210" s="3806" t="s">
        <v>7065</v>
      </c>
      <c r="Q210" s="3807"/>
    </row>
    <row r="211" spans="1:17" ht="22.5" customHeight="1">
      <c r="A211" s="2053"/>
      <c r="B211" s="2030" t="s">
        <v>6816</v>
      </c>
      <c r="C211" s="2033"/>
      <c r="K211" s="2031"/>
      <c r="M211" s="2044"/>
      <c r="O211" s="2100"/>
      <c r="P211" s="3806" t="s">
        <v>2652</v>
      </c>
      <c r="Q211" s="3807"/>
    </row>
    <row r="212" spans="1:17" ht="31.5" customHeight="1">
      <c r="A212" s="2053"/>
      <c r="B212" s="3711" t="s">
        <v>6817</v>
      </c>
      <c r="C212" s="3711"/>
      <c r="D212" s="3711"/>
      <c r="E212" s="3711"/>
      <c r="F212" s="3711"/>
      <c r="G212" s="3711"/>
      <c r="H212" s="3711"/>
      <c r="I212" s="3711"/>
      <c r="J212" s="3711"/>
      <c r="K212" s="3711"/>
      <c r="L212" s="3711"/>
      <c r="M212" s="3711"/>
      <c r="N212" s="3711"/>
      <c r="O212" s="3711"/>
      <c r="P212" s="3808" t="s">
        <v>7065</v>
      </c>
      <c r="Q212" s="3809"/>
    </row>
    <row r="213" spans="1:17" ht="20.25" customHeight="1">
      <c r="A213" s="2053"/>
      <c r="B213" s="2030" t="s">
        <v>6818</v>
      </c>
      <c r="M213" s="2033"/>
      <c r="N213" s="2033"/>
      <c r="O213" s="3813" t="s">
        <v>4047</v>
      </c>
      <c r="P213" s="3814"/>
      <c r="Q213" s="3815"/>
    </row>
    <row r="214" spans="1:17" ht="20.25" customHeight="1">
      <c r="A214" s="2053"/>
      <c r="B214" s="2029" t="s">
        <v>6819</v>
      </c>
      <c r="G214" s="3706"/>
      <c r="H214" s="3743"/>
      <c r="I214" s="3743"/>
      <c r="J214" s="3743"/>
      <c r="K214" s="3743"/>
      <c r="L214" s="3744"/>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2" t="s">
        <v>7110</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6820</v>
      </c>
      <c r="C222" s="3711"/>
      <c r="D222" s="3711"/>
      <c r="E222" s="3711"/>
      <c r="F222" s="3711"/>
      <c r="G222" s="3711"/>
      <c r="H222" s="3711"/>
      <c r="I222" s="3711"/>
      <c r="J222" s="3711"/>
      <c r="K222" s="3711"/>
      <c r="L222" s="3711"/>
      <c r="M222" s="3711"/>
      <c r="N222" s="3711"/>
      <c r="O222" s="3712"/>
      <c r="P222" s="3823"/>
      <c r="Q222" s="3824"/>
    </row>
    <row r="223" spans="1:17" s="2102" customFormat="1" ht="33.75" customHeight="1">
      <c r="A223" s="2071" t="s">
        <v>1841</v>
      </c>
      <c r="B223" s="3825" t="s">
        <v>6821</v>
      </c>
      <c r="C223" s="3825"/>
      <c r="D223" s="3825"/>
      <c r="E223" s="3825"/>
      <c r="F223" s="3825"/>
      <c r="G223" s="3825"/>
      <c r="H223" s="3825"/>
      <c r="I223" s="3825"/>
      <c r="J223" s="3825"/>
      <c r="K223" s="3825"/>
      <c r="L223" s="3825"/>
      <c r="M223" s="3825"/>
      <c r="N223" s="3825"/>
      <c r="O223" s="3825"/>
      <c r="P223" s="2063"/>
      <c r="Q223" s="2440"/>
    </row>
    <row r="224" spans="1:17" ht="47.25" customHeight="1">
      <c r="A224" s="2071" t="s">
        <v>1843</v>
      </c>
      <c r="B224" s="3786" t="s">
        <v>6822</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6823</v>
      </c>
      <c r="C225" s="3816"/>
      <c r="D225" s="3816"/>
      <c r="E225" s="3816"/>
      <c r="F225" s="3816"/>
      <c r="G225" s="3816"/>
      <c r="H225" s="3816"/>
      <c r="I225" s="3816"/>
      <c r="J225" s="3816"/>
      <c r="K225" s="3816"/>
      <c r="L225" s="3816"/>
      <c r="M225" s="3816"/>
      <c r="N225" s="3816"/>
      <c r="O225" s="3816"/>
      <c r="P225" s="2063"/>
      <c r="Q225" s="2064"/>
    </row>
    <row r="226" spans="1:17" ht="33.75" customHeight="1">
      <c r="A226" s="2071" t="s">
        <v>1962</v>
      </c>
      <c r="B226" s="3786" t="s">
        <v>6824</v>
      </c>
      <c r="C226" s="3786"/>
      <c r="D226" s="3786"/>
      <c r="E226" s="3786"/>
      <c r="F226" s="3786"/>
      <c r="G226" s="3786"/>
      <c r="H226" s="3786"/>
      <c r="I226" s="3786"/>
      <c r="J226" s="3786"/>
      <c r="K226" s="3786"/>
      <c r="L226" s="3786"/>
      <c r="M226" s="3786"/>
      <c r="N226" s="3786"/>
      <c r="O226" s="3786"/>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2" t="s">
        <v>7066</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3358</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3359</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6825</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6826</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6827</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6828</v>
      </c>
      <c r="D239" s="3786"/>
      <c r="E239" s="3786"/>
      <c r="F239" s="3786"/>
      <c r="G239" s="3786"/>
      <c r="H239" s="3786"/>
      <c r="I239" s="3786"/>
      <c r="J239" s="3786"/>
      <c r="K239" s="3786"/>
      <c r="L239" s="3786"/>
      <c r="M239" s="3786"/>
      <c r="N239" s="3786"/>
      <c r="O239" s="3786"/>
      <c r="P239" s="3786"/>
      <c r="Q239" s="3786"/>
    </row>
    <row r="240" spans="1:17" ht="29.25" customHeight="1">
      <c r="A240" s="2053"/>
      <c r="B240" s="2104" t="s">
        <v>3864</v>
      </c>
      <c r="C240" s="3786" t="s">
        <v>6829</v>
      </c>
      <c r="D240" s="3786"/>
      <c r="E240" s="3786"/>
      <c r="F240" s="3786"/>
      <c r="G240" s="3786"/>
      <c r="H240" s="3786"/>
      <c r="I240" s="3786"/>
      <c r="J240" s="3786"/>
      <c r="K240" s="3786"/>
      <c r="L240" s="3786"/>
      <c r="M240" s="3786"/>
      <c r="N240" s="3786"/>
      <c r="O240" s="3786"/>
      <c r="P240" s="3786"/>
      <c r="Q240" s="3786"/>
    </row>
    <row r="241" spans="1:17" ht="15.75" customHeight="1">
      <c r="A241" s="2053"/>
      <c r="B241" s="2104" t="s">
        <v>6830</v>
      </c>
      <c r="C241" s="3786" t="s">
        <v>6831</v>
      </c>
      <c r="D241" s="3786"/>
      <c r="E241" s="3786"/>
      <c r="F241" s="3786"/>
      <c r="G241" s="3786"/>
      <c r="H241" s="3786"/>
      <c r="I241" s="3786"/>
      <c r="J241" s="3786"/>
      <c r="K241" s="3786"/>
      <c r="L241" s="3786"/>
      <c r="M241" s="3786"/>
      <c r="N241" s="3786"/>
      <c r="O241" s="3786"/>
      <c r="P241" s="3786"/>
      <c r="Q241" s="3786"/>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3" t="s">
        <v>7066</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c r="Q250" s="3766"/>
    </row>
    <row r="251" spans="1:17" ht="20.25" customHeight="1">
      <c r="A251" s="2053"/>
      <c r="B251" s="2030" t="s">
        <v>3142</v>
      </c>
      <c r="D251" s="2056"/>
      <c r="E251" s="2056"/>
      <c r="O251" s="2044"/>
      <c r="P251" s="3799"/>
      <c r="Q251" s="3837"/>
    </row>
    <row r="252" spans="1:17" ht="20.25" customHeight="1">
      <c r="A252" s="2053"/>
      <c r="B252" s="2030" t="s">
        <v>4030</v>
      </c>
      <c r="D252" s="2056"/>
      <c r="E252" s="2056"/>
      <c r="O252" s="2044"/>
      <c r="P252" s="3838"/>
      <c r="Q252" s="3839"/>
    </row>
    <row r="253" spans="1:17" ht="20.25" customHeight="1">
      <c r="A253" s="2053"/>
      <c r="B253" s="2030" t="s">
        <v>3143</v>
      </c>
      <c r="O253" s="2044"/>
      <c r="P253" s="3799"/>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3" t="s">
        <v>7066</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6"/>
      <c r="Q261" s="3744"/>
    </row>
    <row r="262" spans="1:17" ht="20.25" customHeight="1">
      <c r="B262" s="2030" t="s">
        <v>6250</v>
      </c>
      <c r="O262" s="2044"/>
      <c r="P262" s="3720"/>
      <c r="Q262" s="3721"/>
    </row>
    <row r="263" spans="1:17" ht="20.25" customHeight="1">
      <c r="A263" s="2053" t="s">
        <v>1841</v>
      </c>
      <c r="B263" s="2029" t="s">
        <v>3937</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4032</v>
      </c>
      <c r="C265" s="3836"/>
      <c r="D265" s="3836"/>
      <c r="E265" s="3836"/>
      <c r="F265" s="3836"/>
      <c r="G265" s="3836"/>
      <c r="H265" s="3836"/>
      <c r="I265" s="3836"/>
      <c r="J265" s="3836"/>
      <c r="K265" s="3836"/>
      <c r="L265" s="3836"/>
      <c r="M265" s="3836"/>
      <c r="N265" s="3836"/>
      <c r="O265" s="3836"/>
      <c r="P265" s="3799"/>
      <c r="Q265" s="3837"/>
    </row>
    <row r="266" spans="1:17" ht="32.25" customHeight="1">
      <c r="A266" s="2053"/>
      <c r="B266" s="3844" t="s">
        <v>6834</v>
      </c>
      <c r="C266" s="3844"/>
      <c r="D266" s="3844"/>
      <c r="E266" s="3844"/>
      <c r="F266" s="3844"/>
      <c r="G266" s="3844"/>
      <c r="H266" s="3844"/>
      <c r="I266" s="3844"/>
      <c r="J266" s="3844"/>
      <c r="K266" s="3844"/>
      <c r="L266" s="3844"/>
      <c r="M266" s="3844"/>
      <c r="N266" s="3844"/>
      <c r="O266" s="3844"/>
      <c r="P266" s="3801"/>
      <c r="Q266" s="3804"/>
    </row>
    <row r="267" spans="1:17" ht="20.25" customHeight="1">
      <c r="B267" s="2060" t="s">
        <v>3239</v>
      </c>
      <c r="D267" s="2060"/>
      <c r="E267" s="2060"/>
      <c r="F267" s="2060"/>
      <c r="G267" s="2060"/>
      <c r="H267" s="2043"/>
      <c r="I267" s="2031"/>
      <c r="J267" s="2031"/>
      <c r="K267" s="2031"/>
    </row>
    <row r="268" spans="1:17" ht="20.25" customHeight="1">
      <c r="A268" s="3703" t="s">
        <v>7067</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0"/>
      <c r="Q273" s="3710"/>
    </row>
    <row r="274" spans="1:17" ht="33" customHeight="1">
      <c r="A274" s="2033"/>
      <c r="B274" s="3711" t="s">
        <v>6835</v>
      </c>
      <c r="C274" s="3711"/>
      <c r="D274" s="3711"/>
      <c r="E274" s="3711"/>
      <c r="F274" s="3711"/>
      <c r="G274" s="3711"/>
      <c r="H274" s="3711"/>
      <c r="I274" s="3711"/>
      <c r="J274" s="3711"/>
      <c r="K274" s="3711"/>
      <c r="L274" s="3711"/>
      <c r="M274" s="3711"/>
      <c r="N274" s="3711"/>
      <c r="O274" s="2105"/>
      <c r="P274" s="3720" t="s">
        <v>7063</v>
      </c>
      <c r="Q274" s="3721"/>
    </row>
    <row r="275" spans="1:17" ht="34.5" customHeight="1">
      <c r="A275" s="2033"/>
      <c r="B275" s="2078" t="s">
        <v>1841</v>
      </c>
      <c r="C275" s="3786" t="s">
        <v>3311</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6836</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3866</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3867</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3868</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3869</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3312</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3917</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3918</v>
      </c>
      <c r="D283" s="3786"/>
      <c r="E283" s="3786"/>
      <c r="F283" s="3786"/>
      <c r="G283" s="3786"/>
      <c r="H283" s="3786"/>
      <c r="I283" s="3786"/>
      <c r="J283" s="3786"/>
      <c r="K283" s="3786"/>
      <c r="L283" s="3786"/>
      <c r="M283" s="3786"/>
      <c r="N283" s="3786"/>
      <c r="O283" s="3786"/>
      <c r="P283" s="2076"/>
      <c r="Q283" s="2026"/>
    </row>
    <row r="284" spans="1:17" ht="47.25" customHeight="1">
      <c r="A284" s="2071"/>
      <c r="B284" s="3786" t="s">
        <v>6837</v>
      </c>
      <c r="C284" s="3786"/>
      <c r="D284" s="3786"/>
      <c r="E284" s="3786"/>
      <c r="F284" s="3786"/>
      <c r="G284" s="3786"/>
      <c r="H284" s="3786"/>
      <c r="I284" s="3786"/>
      <c r="J284" s="3786"/>
      <c r="K284" s="3786"/>
      <c r="L284" s="3786"/>
      <c r="M284" s="3786"/>
      <c r="N284" s="3786"/>
      <c r="O284" s="3796"/>
      <c r="P284" s="3784" t="s">
        <v>7063</v>
      </c>
      <c r="Q284" s="3784"/>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3" t="s">
        <v>7111</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03" t="s">
        <v>7112</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95" zoomScaleNormal="100" workbookViewId="0">
      <selection activeCell="A148" sqref="A148"/>
    </sheetView>
  </sheetViews>
  <sheetFormatPr defaultColWidth="9.265625" defaultRowHeight="13.9"/>
  <cols>
    <col min="1" max="1" width="6" style="2120" customWidth="1"/>
    <col min="2" max="2" width="3.3984375" style="2120" customWidth="1"/>
    <col min="3" max="3" width="12.3984375" style="2120" customWidth="1"/>
    <col min="4" max="4" width="12.1328125" style="2120" customWidth="1"/>
    <col min="5" max="5" width="7.3984375" style="2120" customWidth="1"/>
    <col min="6" max="6" width="13.59765625" style="2120" customWidth="1"/>
    <col min="7" max="9" width="14.1328125" style="2120" customWidth="1"/>
    <col min="10" max="10" width="10.59765625" style="2120" customWidth="1"/>
    <col min="11" max="11" width="13.3984375" style="2120" customWidth="1"/>
    <col min="12" max="12" width="14.73046875" style="2120" customWidth="1"/>
    <col min="13" max="13" width="6.73046875" style="2120" customWidth="1"/>
    <col min="14" max="14" width="2.73046875" style="2139" customWidth="1"/>
    <col min="15" max="15" width="7.73046875" style="2132" customWidth="1"/>
    <col min="16" max="16" width="8" style="2132" customWidth="1"/>
    <col min="17" max="17" width="6" style="2120" customWidth="1"/>
    <col min="18" max="20" width="9.265625" style="2120" customWidth="1"/>
    <col min="21" max="21" width="10" style="2120" customWidth="1"/>
    <col min="22" max="22" width="10.86328125" style="2120" customWidth="1"/>
    <col min="23" max="23" width="10" style="2120" customWidth="1"/>
    <col min="24" max="24" width="12.3984375" style="2120" customWidth="1"/>
    <col min="25" max="25" width="10.3984375" style="2120" customWidth="1"/>
    <col min="26" max="16384" width="9.26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Dogwood Trail Apartments II, Albany, Dougherty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6841</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70.5</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4" t="s">
        <v>6495</v>
      </c>
      <c r="G12" s="4054"/>
      <c r="H12" s="4054"/>
      <c r="I12" s="4054"/>
      <c r="J12" s="4054"/>
      <c r="K12" s="4054"/>
      <c r="L12" s="4054"/>
      <c r="M12" s="4054"/>
      <c r="N12" s="4054"/>
      <c r="O12" s="2148" t="s">
        <v>3809</v>
      </c>
      <c r="P12" s="2149">
        <f>SUM(P13:P31)</f>
        <v>0</v>
      </c>
      <c r="Q12" s="4055"/>
      <c r="R12" s="4055"/>
      <c r="S12" s="4055"/>
      <c r="T12" s="4055"/>
      <c r="U12" s="4055"/>
      <c r="V12" s="2150"/>
    </row>
    <row r="13" spans="1:25" s="2121" customFormat="1" ht="14.45" customHeight="1">
      <c r="A13" s="2151" t="s">
        <v>1668</v>
      </c>
      <c r="B13" s="2152" t="s">
        <v>3393</v>
      </c>
      <c r="C13" s="2153"/>
      <c r="D13" s="2154"/>
      <c r="E13" s="2155">
        <f>$O$77</f>
        <v>20</v>
      </c>
      <c r="F13" s="4056" t="str">
        <f>$A$81</f>
        <v xml:space="preserve">The site location exceeds the maximum allowable 20 points with 26.5. The project is located within the East Albany Revitalization Plan with a concerted effort to remove blight in the area.  The first phase of the proposed development, Dogwood Trail Apartments, is complete and has had a positive impact on the surrounding neighborhood by encouraging new investment.  </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4037</v>
      </c>
      <c r="C14" s="2158"/>
      <c r="D14" s="2159"/>
      <c r="E14" s="2160">
        <f>$O$86</f>
        <v>4</v>
      </c>
      <c r="F14" s="4037" t="str">
        <f>$A$102</f>
        <v xml:space="preserve">The site is within one mile (0.8 miles) walking distance of a transit hub served by three routes making the site eligible for 4 points. Additionally, there is a second stop served by a single route 0.2 miles walking distance from the site. </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3338</v>
      </c>
      <c r="C15" s="2158"/>
      <c r="D15" s="2159"/>
      <c r="E15" s="2160">
        <f>$O$106</f>
        <v>1.5</v>
      </c>
      <c r="F15" s="4037" t="str">
        <f>$A$117</f>
        <v>Turner Elementary School and Dougherty Comprehensive High School both received "Beating the Odds" designation in 2018. The two schools exceed the required 7 grades for 1.5 points.</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3394</v>
      </c>
      <c r="C16" s="2158"/>
      <c r="D16" s="2159"/>
      <c r="E16" s="2457">
        <f>$O$122</f>
        <v>7</v>
      </c>
      <c r="F16" s="4037" t="str">
        <f>$A$137</f>
        <v xml:space="preserve">Dogwood Trail II is located within the area targeted by the East Albany Revitalization Plan. The plan meets all the requisite requirements as oulined in in the QAP and was adopted on 11/14/2017. The City of Albany has been diligently implementing the East Albany Revitalzation Plan.  The City of Albany has made considerable infrastructure investments within 0.5 miles of the site in the amount of $751,954 to further the East Albany Revitalization Plan and improve quality of life. A portion of those funds have been spend directly adjacent to Phase I of the development with a renovated/upgraded public transit stop serving the property, repaving of Pineview Avenue Rd andMarie Rd adjacent to the property and the planned repaving of East Rd along the east border of the site. Sidewalks have been added from East Rd to School Rd providing youth a safe walking route to school. Third Pary Capital Investment is doumented with over $6.4 million of private funds invested just north of the property across Clark Avenue.
     Census Tract 1.01 is a QCT in 2023. </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3395</v>
      </c>
      <c r="C17" s="2167"/>
      <c r="D17" s="2168"/>
      <c r="E17" s="2169" t="s">
        <v>1610</v>
      </c>
      <c r="F17" s="4061" t="str">
        <f>$A$147</f>
        <v xml:space="preserve">A Community Based Team has been assembled to address the needs of the neighborhood. The team is composed of leaders from government, healthcare, education, employment, transportation and residents of the neighborhood. The Transformation Team has the support of local government. Dogwood Trail II was selected as the City of Albany's GICH project for 2023 an a member of the GICH team is represented on the Transformation Team along with the elected official from the project district. </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4038</v>
      </c>
      <c r="C18" s="2158"/>
      <c r="D18" s="2159"/>
      <c r="E18" s="2170">
        <f>$O$152</f>
        <v>0</v>
      </c>
      <c r="F18" s="4037" t="str">
        <f>$A$165</f>
        <v>Not Applicable. Dogwood Trail Apartments II is claiming points under Revitalization/Redevelopment Plans.</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4040</v>
      </c>
      <c r="B19" s="2157" t="s">
        <v>3261</v>
      </c>
      <c r="C19" s="2158"/>
      <c r="D19" s="2159"/>
      <c r="E19" s="2170">
        <f>$O$179</f>
        <v>0</v>
      </c>
      <c r="F19" s="4037" t="str">
        <f>$A$184</f>
        <v>Not Applicable</v>
      </c>
      <c r="G19" s="3876"/>
      <c r="H19" s="3876"/>
      <c r="I19" s="3876"/>
      <c r="J19" s="3876"/>
      <c r="K19" s="3876"/>
      <c r="L19" s="3876"/>
      <c r="M19" s="3876"/>
      <c r="N19" s="3876"/>
      <c r="O19" s="4038"/>
      <c r="P19" s="2162"/>
      <c r="Q19" s="4064"/>
      <c r="R19" s="4004"/>
      <c r="S19" s="4004"/>
    </row>
    <row r="20" spans="1:35" s="2121" customFormat="1" ht="14.45" customHeight="1">
      <c r="A20" s="2151" t="s">
        <v>4052</v>
      </c>
      <c r="B20" s="2157" t="s">
        <v>4041</v>
      </c>
      <c r="C20" s="2158"/>
      <c r="D20" s="2159"/>
      <c r="E20" s="2169">
        <f>$O$189</f>
        <v>3</v>
      </c>
      <c r="F20" s="4037" t="str">
        <f>$A$195</f>
        <v>Dogwood Trail Apartments II is the second phase of Dogwood Trail Apartments. Site Control for Dogwood Trail II was obtained on 9/30/19 with the purchase of the site before closing the partnership on 12/6/19.  The master plan is included in the application package showing Phase I, Phase II and the area to the north of Phase II which has been reserved for commercial. Dogwood Trail Apartments (Phase I) placed in service on 12/31/2020.</v>
      </c>
      <c r="G20" s="3876"/>
      <c r="H20" s="3876"/>
      <c r="I20" s="3876"/>
      <c r="J20" s="3876"/>
      <c r="K20" s="3876"/>
      <c r="L20" s="3876"/>
      <c r="M20" s="3876"/>
      <c r="N20" s="3876"/>
      <c r="O20" s="4038"/>
      <c r="P20" s="2162"/>
      <c r="Q20" s="4064"/>
      <c r="R20" s="4004"/>
      <c r="S20" s="4004"/>
    </row>
    <row r="21" spans="1:35" s="2121" customFormat="1" ht="14.45" customHeight="1">
      <c r="A21" s="2171" t="s">
        <v>6242</v>
      </c>
      <c r="B21" s="2166" t="s">
        <v>4042</v>
      </c>
      <c r="C21" s="2167"/>
      <c r="D21" s="2168"/>
      <c r="E21" s="2172">
        <f>$O$200</f>
        <v>0</v>
      </c>
      <c r="F21" s="4061" t="str">
        <f>$A$205</f>
        <v>Not applicable as Dogwood Trail Apartments II is a Phased Development</v>
      </c>
      <c r="G21" s="4062"/>
      <c r="H21" s="4062"/>
      <c r="I21" s="4062"/>
      <c r="J21" s="4062"/>
      <c r="K21" s="4062"/>
      <c r="L21" s="4062"/>
      <c r="M21" s="4062"/>
      <c r="N21" s="4062"/>
      <c r="O21" s="4063"/>
      <c r="P21" s="2162"/>
      <c r="Q21" s="4064"/>
      <c r="R21" s="4004"/>
      <c r="S21" s="4004"/>
    </row>
    <row r="22" spans="1:35" s="2121" customFormat="1" ht="14.45" customHeight="1">
      <c r="A22" s="2151" t="s">
        <v>6636</v>
      </c>
      <c r="B22" s="2157" t="s">
        <v>6548</v>
      </c>
      <c r="C22" s="2158"/>
      <c r="D22" s="2159"/>
      <c r="E22" s="2170">
        <f>$O$223</f>
        <v>0</v>
      </c>
      <c r="F22" s="4037" t="str">
        <f>$A$228</f>
        <v>Not Applicable. Dogwood Trail Apartments II is located outside the Atlanta Metro Pool</v>
      </c>
      <c r="G22" s="3876"/>
      <c r="H22" s="3876"/>
      <c r="I22" s="3876"/>
      <c r="J22" s="3876"/>
      <c r="K22" s="3876"/>
      <c r="L22" s="3876"/>
      <c r="M22" s="3876"/>
      <c r="N22" s="3876"/>
      <c r="O22" s="4038"/>
      <c r="P22" s="2162"/>
      <c r="Q22" s="4064"/>
      <c r="R22" s="4004"/>
      <c r="S22" s="4004"/>
    </row>
    <row r="23" spans="1:35" s="2121" customFormat="1" ht="14.45" customHeight="1">
      <c r="A23" s="2151" t="s">
        <v>6638</v>
      </c>
      <c r="B23" s="2157" t="s">
        <v>6637</v>
      </c>
      <c r="C23" s="2158"/>
      <c r="D23" s="2159"/>
      <c r="E23" s="2170">
        <f>$O$233</f>
        <v>2</v>
      </c>
      <c r="F23" s="4037" t="str">
        <f>$A$248</f>
        <v>Dogwood Trail Apartments II agrees to engage QB's in an amount equal to approximately 5% of total constuction hard costs as certified by Independent Auditor Report in the Final Allocation Application.</v>
      </c>
      <c r="G23" s="3876"/>
      <c r="H23" s="3876"/>
      <c r="I23" s="3876"/>
      <c r="J23" s="3876"/>
      <c r="K23" s="3876"/>
      <c r="L23" s="3876"/>
      <c r="M23" s="3876"/>
      <c r="N23" s="3876"/>
      <c r="O23" s="4038"/>
      <c r="P23" s="2162"/>
      <c r="Q23" s="4064"/>
      <c r="R23" s="4004"/>
      <c r="S23" s="4004"/>
    </row>
    <row r="24" spans="1:35" s="2121" customFormat="1" ht="14.45" customHeight="1">
      <c r="A24" s="2164" t="s">
        <v>3368</v>
      </c>
      <c r="B24" s="2173" t="s">
        <v>6554</v>
      </c>
      <c r="C24" s="2174"/>
      <c r="D24" s="2175"/>
      <c r="E24" s="2165">
        <f>$O$253</f>
        <v>2</v>
      </c>
      <c r="F24" s="4058" t="str">
        <f>$A$257</f>
        <v>Dogwood Trail Apartments II commits to accept resident services coordination from an entity certified as a "3rd Party Resident Services Coordination Contractor" by CORES or other DCA-approved program.</v>
      </c>
      <c r="G24" s="4059"/>
      <c r="H24" s="4059"/>
      <c r="I24" s="4059"/>
      <c r="J24" s="4059"/>
      <c r="K24" s="4059"/>
      <c r="L24" s="4059"/>
      <c r="M24" s="4059"/>
      <c r="N24" s="4059"/>
      <c r="O24" s="4060"/>
      <c r="P24" s="2162"/>
      <c r="Q24" s="4064"/>
      <c r="R24" s="4004"/>
      <c r="S24" s="4004"/>
    </row>
    <row r="25" spans="1:35" s="2121" customFormat="1" ht="14.45" customHeight="1">
      <c r="A25" s="2151" t="s">
        <v>3372</v>
      </c>
      <c r="B25" s="2157" t="s">
        <v>3396</v>
      </c>
      <c r="C25" s="2158"/>
      <c r="D25" s="2159"/>
      <c r="E25" s="2170">
        <f>$O$271</f>
        <v>2</v>
      </c>
      <c r="F25" s="4037" t="str">
        <f>$A$275</f>
        <v>Dogwood Trail Apartments II was selected by the City of Albany GICH Team as the 2023 GICH Development after a competitive process. The GICH letter and city's letter of acceptance and support are included in the application.</v>
      </c>
      <c r="G25" s="3876"/>
      <c r="H25" s="3876"/>
      <c r="I25" s="3876"/>
      <c r="J25" s="3876"/>
      <c r="K25" s="3876"/>
      <c r="L25" s="3876"/>
      <c r="M25" s="3876"/>
      <c r="N25" s="3876"/>
      <c r="O25" s="4038"/>
      <c r="P25" s="2162"/>
      <c r="Q25" s="4064"/>
      <c r="R25" s="4004"/>
      <c r="S25" s="4004"/>
    </row>
    <row r="26" spans="1:35" s="2121" customFormat="1" ht="14.45" customHeight="1">
      <c r="A26" s="2151" t="s">
        <v>3375</v>
      </c>
      <c r="B26" s="2157" t="s">
        <v>3397</v>
      </c>
      <c r="C26" s="2158"/>
      <c r="D26" s="2159"/>
      <c r="E26" s="2170">
        <f>$O$280</f>
        <v>0</v>
      </c>
      <c r="F26" s="4037" t="str">
        <f>$A$307</f>
        <v>Not Applicable</v>
      </c>
      <c r="G26" s="3876"/>
      <c r="H26" s="3876"/>
      <c r="I26" s="3876"/>
      <c r="J26" s="3876"/>
      <c r="K26" s="3876"/>
      <c r="L26" s="3876"/>
      <c r="M26" s="3876"/>
      <c r="N26" s="3876"/>
      <c r="O26" s="4038"/>
      <c r="P26" s="2162"/>
      <c r="Q26" s="4064"/>
      <c r="R26" s="4004"/>
      <c r="S26" s="4004"/>
    </row>
    <row r="27" spans="1:35" s="2121" customFormat="1" ht="14.45" customHeight="1">
      <c r="A27" s="2151" t="s">
        <v>3376</v>
      </c>
      <c r="B27" s="2157" t="s">
        <v>3398</v>
      </c>
      <c r="C27" s="2158"/>
      <c r="D27" s="2159"/>
      <c r="E27" s="2169">
        <f>$O$312</f>
        <v>0</v>
      </c>
      <c r="F27" s="4037" t="str">
        <f>$A$318</f>
        <v>Not Applicable</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2</v>
      </c>
      <c r="F28" s="4065" t="str">
        <f>$A$340</f>
        <v>Applicant has had no negative prior performanc related to DCA Section 811.</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4037" t="str">
        <f>$A$347</f>
        <v>Not Applicable</v>
      </c>
      <c r="G29" s="3876"/>
      <c r="H29" s="3876"/>
      <c r="I29" s="3876"/>
      <c r="J29" s="3876"/>
      <c r="K29" s="3876"/>
      <c r="L29" s="3876"/>
      <c r="M29" s="3876"/>
      <c r="N29" s="3876"/>
      <c r="O29" s="4038"/>
      <c r="P29" s="2162"/>
      <c r="Q29" s="2176"/>
      <c r="R29" s="2118"/>
      <c r="S29" s="2118"/>
    </row>
    <row r="30" spans="1:35" s="2121" customFormat="1" ht="14.45" customHeight="1">
      <c r="A30" s="2151" t="s">
        <v>3802</v>
      </c>
      <c r="B30" s="2157" t="s">
        <v>6552</v>
      </c>
      <c r="C30" s="2158"/>
      <c r="D30" s="2159"/>
      <c r="E30" s="2170">
        <f>$O$358</f>
        <v>0</v>
      </c>
      <c r="F30" s="4037" t="str">
        <f>$A$360</f>
        <v>Not Applicable</v>
      </c>
      <c r="G30" s="3876"/>
      <c r="H30" s="3876"/>
      <c r="I30" s="3876"/>
      <c r="J30" s="3876"/>
      <c r="K30" s="3876"/>
      <c r="L30" s="3876"/>
      <c r="M30" s="3876"/>
      <c r="N30" s="3876"/>
      <c r="O30" s="4038"/>
      <c r="P30" s="2162"/>
      <c r="Q30" s="2176"/>
    </row>
    <row r="31" spans="1:35" s="2121" customFormat="1" ht="14.45" customHeight="1">
      <c r="A31" s="2151" t="s">
        <v>6555</v>
      </c>
      <c r="B31" s="2157" t="s">
        <v>6553</v>
      </c>
      <c r="C31" s="2158"/>
      <c r="D31" s="2159"/>
      <c r="E31" s="2170">
        <f>$O$365</f>
        <v>0</v>
      </c>
      <c r="F31" s="4037" t="str">
        <f>$A$369</f>
        <v>Not Applicable</v>
      </c>
      <c r="G31" s="3876"/>
      <c r="H31" s="3876"/>
      <c r="I31" s="3876"/>
      <c r="J31" s="3876"/>
      <c r="K31" s="3876"/>
      <c r="L31" s="3876"/>
      <c r="M31" s="3876"/>
      <c r="N31" s="3876"/>
      <c r="O31" s="4038"/>
      <c r="P31" s="2455"/>
      <c r="Q31" s="2176"/>
    </row>
    <row r="32" spans="1:35" s="2121" customFormat="1" ht="14.45" customHeight="1">
      <c r="A32" s="2456" t="s">
        <v>6916</v>
      </c>
      <c r="B32" s="2178" t="s">
        <v>6932</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6946</v>
      </c>
      <c r="B34" s="3848"/>
      <c r="C34" s="3848"/>
      <c r="D34" s="3848"/>
      <c r="E34" s="4083" t="str">
        <f>IF(OR((C36-A36&gt;0),(D36-A36&gt;0)),"Points Exceed Max!","")</f>
        <v/>
      </c>
      <c r="F34" s="3918" t="s">
        <v>6880</v>
      </c>
      <c r="G34" s="3919"/>
      <c r="H34" s="3919"/>
      <c r="I34" s="3920"/>
      <c r="J34" s="4068" t="s">
        <v>6139</v>
      </c>
      <c r="K34" s="4069"/>
      <c r="L34" s="4069"/>
      <c r="M34" s="4070"/>
      <c r="O34" s="3924" t="s">
        <v>6881</v>
      </c>
      <c r="P34" s="3924"/>
      <c r="Q34" s="2185"/>
    </row>
    <row r="35" spans="1:35" ht="13.5" customHeight="1">
      <c r="A35" s="4088" t="s">
        <v>6906</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6124</v>
      </c>
      <c r="G36" s="4032"/>
      <c r="H36" s="4032"/>
      <c r="I36" s="4033"/>
      <c r="J36" s="4074" t="s">
        <v>6100</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0" t="s">
        <v>6844</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6873</v>
      </c>
      <c r="B50" s="3922"/>
      <c r="C50" s="3922"/>
      <c r="D50" s="3922"/>
      <c r="E50" s="3922"/>
      <c r="F50" s="2216" t="s">
        <v>3178</v>
      </c>
      <c r="G50" s="3922" t="s">
        <v>6874</v>
      </c>
      <c r="H50" s="3922"/>
      <c r="I50" s="3922"/>
      <c r="J50" s="2216" t="s">
        <v>3178</v>
      </c>
      <c r="K50" s="4090" t="s">
        <v>6875</v>
      </c>
      <c r="L50" s="4090"/>
      <c r="M50" s="4090"/>
      <c r="N50" s="4090"/>
      <c r="O50" s="3858" t="s">
        <v>3178</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6876</v>
      </c>
      <c r="C68" s="2255"/>
      <c r="D68" s="2255"/>
      <c r="E68" s="2255"/>
      <c r="F68" s="2255"/>
      <c r="G68" s="2120" t="s">
        <v>6645</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58</v>
      </c>
      <c r="L69" s="2185"/>
      <c r="M69" s="2123">
        <v>2</v>
      </c>
      <c r="N69" s="2377"/>
      <c r="O69" s="2240">
        <v>2</v>
      </c>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6879</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v>0</v>
      </c>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35.25" customHeight="1" thickTop="1" thickBot="1">
      <c r="A81" s="3867" t="s">
        <v>7122</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4</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6" t="s">
        <v>3215</v>
      </c>
      <c r="G88" s="4016"/>
      <c r="H88" s="4016"/>
      <c r="I88" s="4016"/>
      <c r="J88" s="4016" t="s">
        <v>3216</v>
      </c>
      <c r="K88" s="4016"/>
      <c r="L88" s="4016"/>
      <c r="M88" s="4016"/>
      <c r="N88" s="2254"/>
      <c r="O88" s="3860" t="s">
        <v>6846</v>
      </c>
      <c r="P88" s="3860"/>
      <c r="R88" s="2157"/>
      <c r="S88" s="2275">
        <v>0.5</v>
      </c>
      <c r="T88" s="2275">
        <v>4.5</v>
      </c>
      <c r="U88" s="2267"/>
    </row>
    <row r="89" spans="1:21" ht="15.95" customHeight="1">
      <c r="B89" s="2272"/>
      <c r="C89" s="2420" t="s">
        <v>6847</v>
      </c>
      <c r="F89" s="4008">
        <v>31.578063</v>
      </c>
      <c r="G89" s="4009"/>
      <c r="H89" s="4010"/>
      <c r="I89" s="4011"/>
      <c r="J89" s="4008">
        <v>-84.107658000000001</v>
      </c>
      <c r="K89" s="4009"/>
      <c r="L89" s="4010"/>
      <c r="M89" s="4011"/>
      <c r="N89" s="2120"/>
      <c r="O89" s="3861"/>
      <c r="P89" s="3861"/>
      <c r="R89" s="2274" t="s">
        <v>6670</v>
      </c>
      <c r="S89" s="2280">
        <v>1</v>
      </c>
      <c r="T89" s="2280">
        <v>4</v>
      </c>
      <c r="U89" s="2267"/>
    </row>
    <row r="90" spans="1:21" ht="15.95" customHeight="1">
      <c r="A90" s="2272"/>
      <c r="B90" s="2158"/>
      <c r="C90" s="2420" t="s">
        <v>6848</v>
      </c>
      <c r="F90" s="4012">
        <v>31.574738</v>
      </c>
      <c r="G90" s="4013"/>
      <c r="H90" s="4014"/>
      <c r="I90" s="4015"/>
      <c r="J90" s="4012">
        <v>-84.097638000000003</v>
      </c>
      <c r="K90" s="4013"/>
      <c r="L90" s="4014"/>
      <c r="M90" s="4015"/>
      <c r="N90" s="2254"/>
      <c r="O90" s="2276">
        <v>0.8</v>
      </c>
      <c r="P90" s="2277"/>
      <c r="R90" s="2278"/>
      <c r="S90" s="2281">
        <v>0.25</v>
      </c>
      <c r="T90" s="2281">
        <v>3</v>
      </c>
      <c r="U90" s="2267"/>
    </row>
    <row r="91" spans="1:21" ht="15.95" customHeight="1">
      <c r="A91" s="2158"/>
      <c r="B91" s="4005" t="s">
        <v>6885</v>
      </c>
      <c r="C91" s="4005"/>
      <c r="D91" s="4005"/>
      <c r="E91" s="4005"/>
      <c r="F91" s="2139" t="s">
        <v>6849</v>
      </c>
      <c r="G91" s="4007" t="s">
        <v>1672</v>
      </c>
      <c r="H91" s="4007"/>
      <c r="I91" s="4007"/>
      <c r="J91" s="4007" t="s">
        <v>6882</v>
      </c>
      <c r="K91" s="4007"/>
      <c r="L91" s="4007"/>
      <c r="M91" s="4007"/>
      <c r="N91" s="4007"/>
      <c r="O91" s="4007"/>
      <c r="P91" s="4007"/>
      <c r="R91" s="2279"/>
      <c r="S91" s="2275">
        <v>0.5</v>
      </c>
      <c r="T91" s="2275">
        <v>2</v>
      </c>
      <c r="U91" s="2267"/>
    </row>
    <row r="92" spans="1:21" ht="15.75" customHeight="1">
      <c r="A92" s="2158"/>
      <c r="B92" s="3928" t="s">
        <v>7070</v>
      </c>
      <c r="C92" s="3928"/>
      <c r="D92" s="3928"/>
      <c r="E92" s="3928"/>
      <c r="F92" s="2416">
        <v>2293021527</v>
      </c>
      <c r="G92" s="4006" t="s">
        <v>7071</v>
      </c>
      <c r="H92" s="4006"/>
      <c r="I92" s="4006"/>
      <c r="J92" s="4006" t="s">
        <v>7072</v>
      </c>
      <c r="K92" s="4006"/>
      <c r="L92" s="4006"/>
      <c r="M92" s="4006"/>
      <c r="N92" s="4006"/>
      <c r="O92" s="4006"/>
      <c r="P92" s="4006"/>
      <c r="R92" s="2274" t="s">
        <v>6671</v>
      </c>
      <c r="S92" s="2280">
        <v>1</v>
      </c>
      <c r="T92" s="2280">
        <v>1</v>
      </c>
      <c r="U92" s="2267"/>
    </row>
    <row r="93" spans="1:21" ht="5.2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4</v>
      </c>
      <c r="P94" s="2284">
        <f>IF(OR($J$36="Atlanta Metro",$J$36="Other Metro"),MIN($M94,P95+P96),0)</f>
        <v>0</v>
      </c>
      <c r="Q94" s="2203"/>
    </row>
    <row r="95" spans="1:21" s="2157" customFormat="1" ht="32.1" customHeight="1">
      <c r="B95" s="2285" t="s">
        <v>1844</v>
      </c>
      <c r="C95" s="3876" t="s">
        <v>6877</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6878</v>
      </c>
      <c r="D96" s="2121"/>
      <c r="E96" s="2121"/>
      <c r="F96" s="2121"/>
      <c r="G96" s="2121"/>
      <c r="H96" s="2121"/>
      <c r="I96" s="2121"/>
      <c r="J96" s="4004"/>
      <c r="K96" s="4004"/>
      <c r="L96" s="4004"/>
      <c r="M96" s="2123">
        <v>5</v>
      </c>
      <c r="N96" s="2144"/>
      <c r="O96" s="2258">
        <v>4</v>
      </c>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6883</v>
      </c>
      <c r="D100" s="3876"/>
      <c r="E100" s="3876"/>
      <c r="F100" s="3876"/>
      <c r="G100" s="3876"/>
      <c r="H100" s="3876"/>
      <c r="I100" s="3876"/>
      <c r="J100" s="3876"/>
      <c r="K100" s="3876"/>
      <c r="L100" s="3876"/>
      <c r="M100" s="2286">
        <v>2</v>
      </c>
      <c r="N100" s="2413"/>
      <c r="O100" s="2418"/>
      <c r="P100" s="2419"/>
    </row>
    <row r="101" spans="1:21" ht="15.95" customHeight="1" thickBot="1">
      <c r="A101" s="2121"/>
      <c r="B101" s="2260" t="s">
        <v>3240</v>
      </c>
      <c r="C101" s="2121"/>
      <c r="D101" s="2121"/>
      <c r="E101" s="2121"/>
      <c r="F101" s="2121"/>
      <c r="G101" s="2121"/>
      <c r="H101" s="2121"/>
      <c r="K101" s="2121"/>
      <c r="M101" s="2123"/>
      <c r="O101" s="2133"/>
    </row>
    <row r="102" spans="1:21" ht="28.5" customHeight="1" thickTop="1" thickBot="1">
      <c r="A102" s="3867" t="s">
        <v>7119</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1.5</v>
      </c>
      <c r="P106" s="2447"/>
      <c r="Q106" s="2242" t="str">
        <f>IF(OR($O106&lt;=$M106,$O106=0,$O106=""),"","*CHECK!*")</f>
        <v/>
      </c>
      <c r="R106" s="2303" t="s">
        <v>416</v>
      </c>
      <c r="S106" s="2305"/>
    </row>
    <row r="107" spans="1:21" ht="23.25" customHeight="1">
      <c r="B107" s="2434"/>
      <c r="C107" s="2434"/>
      <c r="D107" s="2434"/>
      <c r="E107" s="2433"/>
      <c r="F107" s="3864" t="s">
        <v>6908</v>
      </c>
      <c r="G107" s="3864"/>
      <c r="H107" s="3864" t="s">
        <v>6909</v>
      </c>
      <c r="I107" s="3864"/>
      <c r="J107" s="3998" t="s">
        <v>6933</v>
      </c>
      <c r="K107" s="3999"/>
      <c r="L107" s="3862" t="s">
        <v>6888</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6629</v>
      </c>
      <c r="C109" s="2436"/>
      <c r="D109" s="2433"/>
      <c r="E109" s="2433"/>
      <c r="F109" s="3865"/>
      <c r="G109" s="3865"/>
      <c r="H109" s="3865"/>
      <c r="I109" s="3865"/>
      <c r="J109" s="4002"/>
      <c r="K109" s="4003"/>
      <c r="L109" s="3865"/>
      <c r="M109" s="3865"/>
      <c r="N109" s="3865"/>
      <c r="O109" s="3866"/>
      <c r="P109" s="2304"/>
    </row>
    <row r="110" spans="1:21" ht="15.95" customHeight="1">
      <c r="B110" s="3986" t="s">
        <v>7073</v>
      </c>
      <c r="C110" s="3987"/>
      <c r="D110" s="3987"/>
      <c r="E110" s="3988"/>
      <c r="F110" s="3996" t="s">
        <v>2652</v>
      </c>
      <c r="G110" s="3997"/>
      <c r="H110" s="3996" t="s">
        <v>2649</v>
      </c>
      <c r="I110" s="3997"/>
      <c r="J110" s="3855" t="s">
        <v>2652</v>
      </c>
      <c r="K110" s="3857"/>
      <c r="L110" s="3855" t="s">
        <v>2652</v>
      </c>
      <c r="M110" s="3856"/>
      <c r="N110" s="3856"/>
      <c r="O110" s="3857"/>
      <c r="P110" s="2257"/>
    </row>
    <row r="111" spans="1:21" ht="15.95" customHeight="1">
      <c r="B111" s="3980" t="s">
        <v>7074</v>
      </c>
      <c r="C111" s="3981"/>
      <c r="D111" s="3981"/>
      <c r="E111" s="3982"/>
      <c r="F111" s="3993" t="s">
        <v>2652</v>
      </c>
      <c r="G111" s="3994"/>
      <c r="H111" s="3993" t="s">
        <v>2652</v>
      </c>
      <c r="I111" s="3994"/>
      <c r="J111" s="3852" t="s">
        <v>2652</v>
      </c>
      <c r="K111" s="3854"/>
      <c r="L111" s="3852" t="s">
        <v>2652</v>
      </c>
      <c r="M111" s="3853"/>
      <c r="N111" s="3853"/>
      <c r="O111" s="3854"/>
      <c r="P111" s="2270"/>
    </row>
    <row r="112" spans="1:21" ht="15.95" customHeight="1">
      <c r="B112" s="3980" t="s">
        <v>7075</v>
      </c>
      <c r="C112" s="3981"/>
      <c r="D112" s="3981"/>
      <c r="E112" s="3982"/>
      <c r="F112" s="3993" t="s">
        <v>2652</v>
      </c>
      <c r="G112" s="3994"/>
      <c r="H112" s="3993" t="s">
        <v>2649</v>
      </c>
      <c r="I112" s="3994"/>
      <c r="J112" s="3852" t="s">
        <v>2652</v>
      </c>
      <c r="K112" s="3854"/>
      <c r="L112" s="3852" t="s">
        <v>2652</v>
      </c>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5.95" customHeight="1" thickTop="1" thickBot="1">
      <c r="A117" s="3867" t="s">
        <v>7076</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86" t="s">
        <v>7077</v>
      </c>
      <c r="N125" s="3987"/>
      <c r="O125" s="3987"/>
      <c r="P125" s="3988"/>
      <c r="S125" s="2118"/>
      <c r="T125" s="2118"/>
      <c r="U125" s="2118"/>
    </row>
    <row r="126" spans="1:21" s="2121" customFormat="1" ht="15.95" customHeight="1">
      <c r="B126" s="2254"/>
      <c r="C126" s="2121" t="s">
        <v>6852</v>
      </c>
      <c r="L126" s="2254"/>
      <c r="M126" s="3980" t="s">
        <v>7078</v>
      </c>
      <c r="N126" s="3981"/>
      <c r="O126" s="3981"/>
      <c r="P126" s="3982"/>
      <c r="S126" s="2118"/>
      <c r="T126" s="2118"/>
      <c r="U126" s="2118"/>
    </row>
    <row r="127" spans="1:21" s="2121" customFormat="1" ht="15.95" customHeight="1">
      <c r="B127" s="2254"/>
      <c r="C127" s="2121" t="s">
        <v>6853</v>
      </c>
      <c r="L127" s="2254"/>
      <c r="M127" s="3980" t="s">
        <v>7079</v>
      </c>
      <c r="N127" s="3981"/>
      <c r="O127" s="3981"/>
      <c r="P127" s="3982"/>
      <c r="Q127" s="2312">
        <f>IF(K127="Yes",1,0)</f>
        <v>0</v>
      </c>
      <c r="S127" s="2118"/>
      <c r="T127" s="2118"/>
      <c r="U127" s="2118"/>
    </row>
    <row r="128" spans="1:21" s="2121" customFormat="1" ht="15.95" customHeight="1">
      <c r="A128" s="2254"/>
      <c r="B128" s="2254"/>
      <c r="C128" s="2121" t="s">
        <v>6854</v>
      </c>
      <c r="L128" s="2254"/>
      <c r="M128" s="3980" t="s">
        <v>7120</v>
      </c>
      <c r="N128" s="3981"/>
      <c r="O128" s="3981"/>
      <c r="P128" s="3982"/>
      <c r="Q128" s="2312">
        <f>IF(K128="Yes",1,0)</f>
        <v>0</v>
      </c>
      <c r="S128" s="2118"/>
      <c r="T128" s="2118"/>
      <c r="U128" s="2118"/>
    </row>
    <row r="129" spans="1:22" s="2121" customFormat="1" ht="15.95" customHeight="1">
      <c r="A129" s="2254"/>
      <c r="B129" s="2254"/>
      <c r="C129" s="2121" t="s">
        <v>6891</v>
      </c>
      <c r="L129" s="2254"/>
      <c r="M129" s="3983">
        <v>61</v>
      </c>
      <c r="N129" s="3984"/>
      <c r="O129" s="3984"/>
      <c r="P129" s="3985"/>
      <c r="Q129" s="2312"/>
      <c r="S129" s="2118"/>
      <c r="T129" s="2118"/>
      <c r="U129" s="2118"/>
      <c r="V129" s="2312"/>
    </row>
    <row r="130" spans="1:22" ht="15.95" customHeight="1">
      <c r="A130" s="2311"/>
      <c r="B130" s="2307" t="s">
        <v>1844</v>
      </c>
      <c r="C130" s="2233" t="s">
        <v>6890</v>
      </c>
      <c r="D130" s="2157"/>
      <c r="E130" s="2157"/>
      <c r="F130" s="2157"/>
      <c r="G130" s="2157"/>
      <c r="H130" s="2157"/>
      <c r="I130" s="2157"/>
      <c r="K130" s="2123"/>
      <c r="L130" s="2123"/>
      <c r="M130" s="2123">
        <v>2</v>
      </c>
      <c r="N130" s="2310"/>
      <c r="O130" s="2308">
        <v>2</v>
      </c>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6855</v>
      </c>
      <c r="D132" s="3876"/>
      <c r="E132" s="3876"/>
      <c r="F132" s="3876"/>
      <c r="G132" s="3876"/>
      <c r="H132" s="3876"/>
      <c r="I132" s="3876"/>
      <c r="J132" s="3876"/>
      <c r="K132" s="3876"/>
      <c r="L132" s="3876"/>
      <c r="M132" s="2286">
        <v>1</v>
      </c>
      <c r="N132" s="2310"/>
      <c r="O132" s="2314">
        <v>1</v>
      </c>
      <c r="P132" s="2315"/>
      <c r="Q132" s="2242" t="str">
        <f>IF(OR($O132=$M132,$O132=0,$O132=""),"","*CHECK!*")</f>
        <v/>
      </c>
      <c r="R132" s="2305"/>
    </row>
    <row r="133" spans="1:22" ht="30.75" customHeight="1">
      <c r="A133" s="2235"/>
      <c r="B133" s="2310"/>
      <c r="C133" s="3876" t="s">
        <v>6899</v>
      </c>
      <c r="D133" s="3876"/>
      <c r="E133" s="3876"/>
      <c r="F133" s="3876"/>
      <c r="G133" s="3876"/>
      <c r="H133" s="3876"/>
      <c r="I133" s="3876"/>
      <c r="J133" s="3876"/>
      <c r="K133" s="3876"/>
      <c r="L133" s="3876"/>
      <c r="M133" s="2286">
        <v>1</v>
      </c>
      <c r="N133" s="2310"/>
      <c r="O133" s="2316">
        <v>1</v>
      </c>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v>2</v>
      </c>
      <c r="P135" s="2415"/>
      <c r="Q135" s="2320"/>
      <c r="R135" s="2305"/>
    </row>
    <row r="136" spans="1:22" s="2121" customFormat="1" ht="15.95" customHeight="1" thickBot="1">
      <c r="B136" s="2260" t="s">
        <v>3240</v>
      </c>
      <c r="M136" s="2123"/>
      <c r="N136" s="2123"/>
      <c r="O136" s="2133"/>
      <c r="P136" s="2124"/>
    </row>
    <row r="137" spans="1:22" ht="99.75" customHeight="1" thickTop="1" thickBot="1">
      <c r="A137" s="3867" t="s">
        <v>7121</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2649</v>
      </c>
      <c r="P144" s="2257"/>
      <c r="Q144" s="2203"/>
      <c r="R144" s="2118"/>
      <c r="S144" s="2118"/>
      <c r="T144" s="2118"/>
      <c r="U144" s="2118"/>
    </row>
    <row r="145" spans="1:27" ht="33.950000000000003" customHeight="1">
      <c r="A145" s="2142"/>
      <c r="B145" s="3941" t="s">
        <v>6898</v>
      </c>
      <c r="C145" s="3941"/>
      <c r="D145" s="3941"/>
      <c r="E145" s="3941"/>
      <c r="F145" s="3941"/>
      <c r="G145" s="3941"/>
      <c r="H145" s="3941"/>
      <c r="I145" s="3941"/>
      <c r="J145" s="3941"/>
      <c r="K145" s="3941"/>
      <c r="L145" s="3941"/>
      <c r="M145" s="3941"/>
      <c r="N145" s="2124"/>
      <c r="O145" s="2325" t="s">
        <v>2649</v>
      </c>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47.25" customHeight="1" thickTop="1" thickBot="1">
      <c r="A147" s="3867" t="s">
        <v>7123</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2" t="s">
        <v>3204</v>
      </c>
      <c r="K154" s="3973"/>
      <c r="L154" s="3974" t="s">
        <v>3204</v>
      </c>
      <c r="M154" s="3975"/>
      <c r="N154" s="2123"/>
      <c r="R154" s="2203"/>
      <c r="S154" s="2121"/>
    </row>
    <row r="155" spans="1:27" ht="15.95" customHeight="1">
      <c r="C155" s="2331" t="s">
        <v>6892</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79" t="s">
        <v>6218</v>
      </c>
      <c r="F158" s="3979"/>
      <c r="G158" s="3979"/>
      <c r="H158" s="3979"/>
      <c r="I158" s="2139" t="s">
        <v>6893</v>
      </c>
      <c r="J158" s="3979" t="s">
        <v>6218</v>
      </c>
      <c r="K158" s="3979"/>
      <c r="L158" s="3979"/>
      <c r="M158" s="3979"/>
      <c r="N158" s="2120"/>
      <c r="O158" s="2120"/>
      <c r="P158" s="2120"/>
    </row>
    <row r="159" spans="1:27" ht="15.95" customHeight="1">
      <c r="C159" s="2121" t="s">
        <v>6217</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6215</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67" t="s">
        <v>7080</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64" t="str">
        <f>'Part V-Revenues &amp; Expenses'!$O$53</f>
        <v>Income Averaging</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6"/>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7066</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v>3</v>
      </c>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6857</v>
      </c>
      <c r="H190" s="3848" t="s">
        <v>574</v>
      </c>
      <c r="I190" s="3848"/>
      <c r="J190" s="3848"/>
      <c r="K190" s="3957" t="s">
        <v>6929</v>
      </c>
      <c r="L190" s="3957"/>
      <c r="M190" s="3957"/>
      <c r="N190" s="2310"/>
      <c r="O190" s="2346" t="s">
        <v>2649</v>
      </c>
      <c r="P190" s="2347"/>
      <c r="Q190" s="2348"/>
      <c r="R190" s="2158"/>
      <c r="S190" s="2158"/>
      <c r="T190" s="2158"/>
      <c r="W190" s="2158"/>
      <c r="X190" s="2158"/>
      <c r="Y190" s="2158"/>
      <c r="Z190" s="2158"/>
      <c r="AA190" s="2158"/>
    </row>
    <row r="191" spans="1:27" ht="15.95" customHeight="1">
      <c r="A191" s="2285"/>
      <c r="B191" s="2285"/>
      <c r="D191" s="2186" t="s">
        <v>6257</v>
      </c>
      <c r="G191" s="2349" t="s">
        <v>7081</v>
      </c>
      <c r="H191" s="3953" t="s">
        <v>7082</v>
      </c>
      <c r="I191" s="3954"/>
      <c r="J191" s="3955"/>
      <c r="K191" s="3949">
        <v>43805</v>
      </c>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43.5" customHeight="1" thickTop="1" thickBot="1">
      <c r="A195" s="3867" t="s">
        <v>7117</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6937</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6935</v>
      </c>
      <c r="M202" s="2123">
        <v>3</v>
      </c>
      <c r="N202" s="2254"/>
      <c r="O202" s="2240"/>
      <c r="P202" s="2241"/>
      <c r="Q202" s="2320" t="str">
        <f>IF(OR($O202=$M202,$O202=$M202-1,$O202=0,$O202=""),"","*CHECK!*")</f>
        <v/>
      </c>
      <c r="R202" s="2305"/>
    </row>
    <row r="203" spans="1:24" ht="15.95" customHeight="1">
      <c r="A203" s="2138" t="s">
        <v>698</v>
      </c>
      <c r="B203" s="2131" t="s">
        <v>6936</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15.95" customHeight="1" thickTop="1" thickBot="1">
      <c r="A205" s="3867" t="s">
        <v>7083</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6894</v>
      </c>
      <c r="C216" s="3941"/>
      <c r="D216" s="3941"/>
      <c r="E216" s="3941"/>
      <c r="F216" s="3941"/>
      <c r="G216" s="3941"/>
      <c r="H216" s="3941"/>
      <c r="I216" s="3941"/>
      <c r="J216" s="3941"/>
      <c r="K216" s="3941"/>
      <c r="L216" s="3941"/>
      <c r="M216" s="2123"/>
      <c r="N216" s="2254"/>
      <c r="O216" s="2358"/>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6938</v>
      </c>
      <c r="C218" s="3876"/>
      <c r="D218" s="3876"/>
      <c r="E218" s="3876"/>
      <c r="F218" s="3876"/>
      <c r="G218" s="3876"/>
      <c r="H218" s="3876"/>
      <c r="I218" s="3876"/>
      <c r="J218" s="3876"/>
      <c r="K218" s="3876"/>
      <c r="L218" s="3876"/>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t="s">
        <v>7053</v>
      </c>
      <c r="P224" s="2369"/>
      <c r="Q224" s="2342">
        <f>IF(L224="Yes",1,0)</f>
        <v>0</v>
      </c>
      <c r="R224" s="2118"/>
      <c r="S224" s="2118"/>
      <c r="T224" s="2118"/>
      <c r="U224" s="2118"/>
      <c r="V224" s="2118"/>
    </row>
    <row r="225" spans="1:24" ht="15.75" customHeight="1">
      <c r="B225" s="3931" t="s">
        <v>6895</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7084</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3942" t="s">
        <v>6897</v>
      </c>
      <c r="P234" s="3942" t="s">
        <v>3150</v>
      </c>
      <c r="Q234" s="2203"/>
      <c r="R234" s="2118"/>
      <c r="S234" s="2118"/>
      <c r="T234" s="2118"/>
      <c r="U234" s="2118"/>
      <c r="V234" s="2118"/>
      <c r="W234" s="2120"/>
      <c r="X234" s="2120"/>
    </row>
    <row r="235" spans="1:24" s="2121" customFormat="1" ht="15.95" customHeight="1">
      <c r="A235" s="2142"/>
      <c r="C235" s="2121" t="s">
        <v>6692</v>
      </c>
      <c r="I235" s="3932"/>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6691</v>
      </c>
      <c r="I236" s="3934"/>
      <c r="J236" s="3935"/>
      <c r="M236" s="2210"/>
      <c r="O236" s="3864"/>
      <c r="P236" s="3864"/>
      <c r="Q236" s="2203"/>
      <c r="R236" s="2118"/>
      <c r="S236" s="2118"/>
      <c r="T236" s="2118"/>
      <c r="U236" s="2118"/>
      <c r="V236" s="2118"/>
      <c r="W236" s="2120"/>
      <c r="X236" s="2120"/>
    </row>
    <row r="237" spans="1:24" s="2121" customFormat="1" ht="15.95" customHeight="1">
      <c r="A237" s="2142"/>
      <c r="C237" s="2121" t="s">
        <v>6693</v>
      </c>
      <c r="I237" s="3939" t="s">
        <v>6694</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6859</v>
      </c>
      <c r="D239" s="3941"/>
      <c r="E239" s="3941"/>
      <c r="F239" s="3941"/>
      <c r="G239" s="3941"/>
      <c r="H239" s="3941"/>
      <c r="I239" s="3941"/>
      <c r="J239" s="3941"/>
      <c r="K239" s="3941"/>
      <c r="L239" s="3941"/>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6587</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6860</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c r="P245" s="2257"/>
      <c r="Q245" s="2364"/>
      <c r="R245" s="2305"/>
      <c r="S245" s="2118"/>
      <c r="T245" s="2118"/>
      <c r="U245" s="2118"/>
      <c r="V245" s="2118"/>
    </row>
    <row r="246" spans="1:22" s="2157" customFormat="1" ht="30" customHeight="1">
      <c r="A246" s="2365"/>
      <c r="B246" s="2285"/>
      <c r="C246" s="3876" t="s">
        <v>6934</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30.75" customHeight="1" thickTop="1" thickBot="1">
      <c r="A248" s="3867" t="s">
        <v>7091</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28.5" customHeight="1" thickTop="1" thickBot="1">
      <c r="A257" s="3867" t="s">
        <v>7118</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3153</v>
      </c>
      <c r="D272" s="2227"/>
      <c r="E272" s="2227"/>
      <c r="G272" s="2121"/>
      <c r="I272" s="3873" t="s">
        <v>7059</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30.75" customHeight="1" thickTop="1" thickBot="1">
      <c r="A275" s="3867" t="s">
        <v>7114</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5" customHeight="1">
      <c r="A282" s="2313"/>
      <c r="B282" s="3929" t="s">
        <v>6862</v>
      </c>
      <c r="C282" s="3929"/>
      <c r="D282" s="3929"/>
      <c r="E282" s="3929"/>
      <c r="F282" s="3929"/>
      <c r="G282" s="3929"/>
      <c r="H282" s="3929"/>
      <c r="I282" s="3929"/>
      <c r="J282" s="3929"/>
      <c r="K282" s="3929"/>
      <c r="L282" s="3929"/>
      <c r="N282" s="2120"/>
      <c r="O282" s="2374"/>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3155</v>
      </c>
      <c r="I285" s="2310"/>
      <c r="J285" s="3877"/>
      <c r="K285" s="3878"/>
      <c r="L285" s="2310"/>
      <c r="M285" s="3879"/>
      <c r="N285" s="3880"/>
      <c r="O285" s="3880"/>
      <c r="P285" s="3881"/>
      <c r="R285" s="2232"/>
    </row>
    <row r="286" spans="1:20" ht="15.95" customHeight="1">
      <c r="B286" s="2377" t="s">
        <v>2332</v>
      </c>
      <c r="C286" s="2121" t="s">
        <v>3953</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6232</v>
      </c>
      <c r="I290" s="2254"/>
      <c r="J290" s="3877"/>
      <c r="K290" s="3878"/>
      <c r="L290" s="2254"/>
      <c r="M290" s="2378"/>
      <c r="N290" s="2379"/>
      <c r="O290" s="2379"/>
      <c r="P290" s="2380"/>
      <c r="R290" s="2232"/>
    </row>
    <row r="291" spans="1:26" ht="15.95" customHeight="1">
      <c r="A291" s="2230"/>
      <c r="B291" s="2377" t="s">
        <v>474</v>
      </c>
      <c r="C291" s="2121" t="s">
        <v>3154</v>
      </c>
      <c r="I291" s="2254"/>
      <c r="J291" s="3877"/>
      <c r="K291" s="3878"/>
      <c r="L291" s="2254"/>
      <c r="M291" s="3879"/>
      <c r="N291" s="3880"/>
      <c r="O291" s="3880"/>
      <c r="P291" s="3881"/>
      <c r="R291" s="2232"/>
    </row>
    <row r="292" spans="1:26" ht="15.95" customHeight="1">
      <c r="B292" s="2377" t="s">
        <v>3888</v>
      </c>
      <c r="C292" s="2121" t="s">
        <v>6863</v>
      </c>
      <c r="I292" s="2254"/>
      <c r="J292" s="3877"/>
      <c r="K292" s="3878"/>
      <c r="L292" s="2254"/>
      <c r="M292" s="3879"/>
      <c r="N292" s="3880"/>
      <c r="O292" s="3880"/>
      <c r="P292" s="3881"/>
      <c r="R292" s="2232"/>
    </row>
    <row r="293" spans="1:26" ht="15.95" customHeight="1">
      <c r="B293" s="2377" t="s">
        <v>6864</v>
      </c>
      <c r="C293" s="2121" t="s">
        <v>6901</v>
      </c>
      <c r="I293" s="2254"/>
      <c r="J293" s="3877"/>
      <c r="K293" s="3878"/>
      <c r="L293" s="2254"/>
      <c r="M293" s="3879"/>
      <c r="N293" s="3880"/>
      <c r="O293" s="3880"/>
      <c r="P293" s="3881"/>
      <c r="R293" s="2232"/>
    </row>
    <row r="294" spans="1:26" ht="15.95" customHeight="1" thickBot="1">
      <c r="B294" s="2377" t="s">
        <v>6865</v>
      </c>
      <c r="C294" s="2121" t="s">
        <v>6902</v>
      </c>
      <c r="I294" s="2254"/>
      <c r="J294" s="3877"/>
      <c r="K294" s="3878"/>
      <c r="L294" s="2254"/>
      <c r="M294" s="3905"/>
      <c r="N294" s="3906"/>
      <c r="O294" s="3906"/>
      <c r="P294" s="3907"/>
      <c r="R294" s="2232"/>
    </row>
    <row r="295" spans="1:26" ht="15.95" customHeight="1" thickBot="1">
      <c r="B295" s="2121"/>
      <c r="I295" s="2138" t="s">
        <v>2413</v>
      </c>
      <c r="J295" s="3908">
        <f>SUM(J284:K294)</f>
        <v>0</v>
      </c>
      <c r="K295" s="3909"/>
      <c r="M295" s="3908">
        <f>SUM($M284:$M294)</f>
        <v>0</v>
      </c>
      <c r="N295" s="3910"/>
      <c r="O295" s="3910"/>
      <c r="P295" s="3909"/>
      <c r="R295" s="2232"/>
    </row>
    <row r="296" spans="1:26" ht="15.95" customHeight="1">
      <c r="M296" s="2136"/>
      <c r="N296" s="2136"/>
      <c r="O296" s="2120"/>
      <c r="P296" s="2136"/>
      <c r="U296" s="3848" t="s">
        <v>6907</v>
      </c>
      <c r="V296" s="3848"/>
      <c r="W296" s="3848"/>
      <c r="X296" s="3848"/>
      <c r="Y296" s="3848"/>
      <c r="Z296" s="3848"/>
    </row>
    <row r="297" spans="1:26" ht="15.95" customHeight="1">
      <c r="A297" s="2121"/>
      <c r="B297" s="2332"/>
      <c r="C297" s="2227" t="s">
        <v>2412</v>
      </c>
      <c r="D297" s="2255"/>
      <c r="E297" s="2255"/>
      <c r="I297" s="2254" t="s">
        <v>6235</v>
      </c>
      <c r="J297" s="3897">
        <f>'Part V-Revenues &amp; Expenses'!$P$67</f>
        <v>40</v>
      </c>
      <c r="K297" s="3898"/>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6236</v>
      </c>
      <c r="J298" s="3911">
        <f>IF(J297=0,0,J295/J297)</f>
        <v>0</v>
      </c>
      <c r="K298" s="3912"/>
      <c r="M298" s="3913">
        <f>IF(J297=0,0,M295/J297)</f>
        <v>0</v>
      </c>
      <c r="N298" s="3914"/>
      <c r="O298" s="3914"/>
      <c r="P298" s="3915"/>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6237</v>
      </c>
      <c r="J300" s="3902">
        <f>IF(J298&gt;=$Y$299,$Y$300,IF(J298&gt;=$W$299,$W$300,IF(J298&gt;=$U$299,$U$300,0)))</f>
        <v>0</v>
      </c>
      <c r="K300" s="3903"/>
      <c r="L300" s="2136"/>
      <c r="M300" s="3902">
        <f>IF(M298&gt;=$Y$299,$Y$300,IF(M298&gt;=$W$299,$W$300,IF(M298&gt;=$U$299,$U$300,0)))</f>
        <v>0</v>
      </c>
      <c r="N300" s="3904"/>
      <c r="O300" s="3904"/>
      <c r="P300" s="3903"/>
      <c r="S300" s="2431" t="s">
        <v>6144</v>
      </c>
      <c r="U300" s="3858">
        <v>1</v>
      </c>
      <c r="V300" s="3859"/>
      <c r="W300" s="3858">
        <v>2</v>
      </c>
      <c r="X300" s="3859"/>
      <c r="Y300" s="3858">
        <v>3</v>
      </c>
      <c r="Z300" s="3859"/>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6867</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c r="P304" s="2270"/>
      <c r="V304" s="2355"/>
    </row>
    <row r="305" spans="1:19" ht="15.95" customHeight="1">
      <c r="B305" s="2313"/>
      <c r="C305" s="2120" t="s">
        <v>6869</v>
      </c>
      <c r="N305" s="2144"/>
      <c r="O305" s="2246"/>
      <c r="P305" s="2247"/>
    </row>
    <row r="306" spans="1:19" ht="15.95" customHeight="1" thickBot="1">
      <c r="B306" s="2260" t="s">
        <v>3240</v>
      </c>
    </row>
    <row r="307" spans="1:19" ht="15.95" customHeight="1" thickTop="1" thickBot="1">
      <c r="A307" s="3867" t="s">
        <v>7066</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3885</v>
      </c>
      <c r="H313" s="3874"/>
      <c r="I313" s="3874"/>
      <c r="J313" s="3874"/>
      <c r="K313" s="3874"/>
      <c r="L313" s="3875"/>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1" t="s">
        <v>3414</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7" t="s">
        <v>7066</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6939</v>
      </c>
      <c r="D326" s="2143"/>
      <c r="E326" s="2143"/>
      <c r="L326" s="2232"/>
      <c r="M326" s="2124"/>
      <c r="N326" s="2123"/>
      <c r="O326" s="2387">
        <v>0</v>
      </c>
      <c r="P326" s="2354"/>
      <c r="Q326" s="2203"/>
    </row>
    <row r="327" spans="1:18" s="2121" customFormat="1" ht="15.95" customHeight="1">
      <c r="A327" s="2124" t="s">
        <v>1843</v>
      </c>
      <c r="B327" s="2131" t="s">
        <v>6940</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5.95" customHeight="1" thickTop="1" thickBot="1">
      <c r="A340" s="3867" t="s">
        <v>7085</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67" t="s">
        <v>7066</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7" t="s">
        <v>7066</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7" t="s">
        <v>7066</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6930</v>
      </c>
      <c r="E376" s="2121"/>
      <c r="F376" s="2121"/>
      <c r="G376" s="2121" t="s">
        <v>6222</v>
      </c>
      <c r="H376" s="2121"/>
      <c r="I376" s="2121"/>
      <c r="J376" s="2121" t="s">
        <v>575</v>
      </c>
      <c r="L376" s="2139" t="s">
        <v>6931</v>
      </c>
      <c r="M376" s="3848" t="s">
        <v>6941</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3.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7" t="s">
        <v>7066</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6923</v>
      </c>
      <c r="Q395" s="2320" t="str">
        <f>IF(OR($O395=$M395,$O395=0,$O395=""),"","*CHECK!*")</f>
        <v/>
      </c>
      <c r="R395" s="2305"/>
    </row>
    <row r="396" spans="1:19" ht="147" customHeight="1">
      <c r="A396" s="2345"/>
      <c r="B396" s="3891" t="s">
        <v>7115</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6924</v>
      </c>
      <c r="Q397" s="2320" t="str">
        <f>IF(OR($O397=$M397,$O397=0,$O397=""),"","*CHECK!*")</f>
        <v/>
      </c>
      <c r="R397" s="2305"/>
    </row>
    <row r="398" spans="1:19" ht="147" customHeight="1">
      <c r="A398" s="2345"/>
      <c r="B398" s="3891" t="s">
        <v>7116</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7" t="s">
        <v>7086</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6947</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70.5</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6871</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2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6562</v>
      </c>
      <c r="BC415" s="3890"/>
      <c r="BD415" s="3890"/>
      <c r="BE415" s="3890"/>
      <c r="BF415" s="3890"/>
      <c r="BG415" s="3890"/>
      <c r="BH415" s="3890"/>
      <c r="BI415" s="3890"/>
      <c r="BJ415" s="2199"/>
      <c r="BK415" s="2199"/>
      <c r="BL415" s="2199"/>
      <c r="BM415" s="2397"/>
      <c r="BN415" s="2397"/>
    </row>
    <row r="416" spans="1:66" ht="14.2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6563</v>
      </c>
      <c r="AZ416" s="3887"/>
      <c r="BA416" s="3887"/>
      <c r="BB416" s="3887"/>
      <c r="BC416" s="3887"/>
      <c r="BD416" s="3887"/>
      <c r="BE416" s="3888"/>
      <c r="BF416" s="3886" t="s">
        <v>6564</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39" t="s">
        <v>6124</v>
      </c>
      <c r="AH418" s="4040"/>
      <c r="AI418" s="3883" t="s">
        <v>6505</v>
      </c>
      <c r="AJ418" s="3884"/>
      <c r="AK418" s="3884"/>
      <c r="AL418" s="3884"/>
      <c r="AM418" s="3885"/>
      <c r="AN418" s="4041" t="s">
        <v>6137</v>
      </c>
      <c r="AO418" s="4041"/>
      <c r="AP418" s="4041"/>
      <c r="AQ418" s="4041"/>
      <c r="AR418" s="2397"/>
      <c r="AS418" s="2466"/>
      <c r="AT418" s="2465" t="s">
        <v>6136</v>
      </c>
      <c r="AU418" s="2466"/>
      <c r="AV418" s="2466"/>
      <c r="AW418" s="2466"/>
      <c r="AX418" s="2397"/>
      <c r="AY418" s="3883" t="s">
        <v>6124</v>
      </c>
      <c r="AZ418" s="3885"/>
      <c r="BA418" s="3883" t="s">
        <v>6505</v>
      </c>
      <c r="BB418" s="3884"/>
      <c r="BC418" s="3884"/>
      <c r="BD418" s="3884"/>
      <c r="BE418" s="3885"/>
      <c r="BF418" s="3889" t="s">
        <v>6124</v>
      </c>
      <c r="BG418" s="3889"/>
      <c r="BH418" s="3889" t="s">
        <v>6505</v>
      </c>
      <c r="BI418" s="3889"/>
      <c r="BJ418" s="3889"/>
      <c r="BK418" s="3889"/>
      <c r="BL418" s="3889"/>
      <c r="BM418" s="2397"/>
      <c r="BN418" s="2397"/>
    </row>
    <row r="419" spans="2:66" ht="27.7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6943</v>
      </c>
      <c r="AI419" s="2467" t="s">
        <v>6943</v>
      </c>
      <c r="AJ419" s="2467" t="s">
        <v>6913</v>
      </c>
      <c r="AK419" s="2467" t="s">
        <v>6545</v>
      </c>
      <c r="AL419" s="2467" t="s">
        <v>6546</v>
      </c>
      <c r="AM419" s="2467" t="s">
        <v>6547</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6943</v>
      </c>
      <c r="BA419" s="2467" t="s">
        <v>6943</v>
      </c>
      <c r="BB419" s="2467" t="s">
        <v>6927</v>
      </c>
      <c r="BC419" s="2467" t="s">
        <v>6545</v>
      </c>
      <c r="BD419" s="2467" t="s">
        <v>6546</v>
      </c>
      <c r="BE419" s="2467" t="s">
        <v>6547</v>
      </c>
      <c r="BF419" s="2467">
        <v>0.09</v>
      </c>
      <c r="BG419" s="2467" t="s">
        <v>6943</v>
      </c>
      <c r="BH419" s="2467" t="s">
        <v>6943</v>
      </c>
      <c r="BI419" s="2467" t="s">
        <v>6927</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4</v>
      </c>
      <c r="AZ424" s="2497">
        <f>O86</f>
        <v>4</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29" t="s">
        <v>6561</v>
      </c>
      <c r="AO425" s="4030"/>
      <c r="AP425" s="4030"/>
      <c r="AQ425" s="4030"/>
      <c r="AR425" s="2397"/>
      <c r="AS425" s="2468" t="s">
        <v>720</v>
      </c>
      <c r="AT425" s="2492" t="s">
        <v>3338</v>
      </c>
      <c r="AU425" s="2493"/>
      <c r="AV425" s="2493"/>
      <c r="AW425" s="2493"/>
      <c r="AX425" s="2493"/>
      <c r="AY425" s="2494">
        <f>O106</f>
        <v>1.5</v>
      </c>
      <c r="AZ425" s="2486">
        <f>O106</f>
        <v>1.5</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3394</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6945</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3</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6916</v>
      </c>
      <c r="AB447" s="2527" t="s">
        <v>6925</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6925</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70.5</v>
      </c>
      <c r="AZ449" s="2542">
        <f>IF(AND($O$36="4%",($C$36-$A$36)&gt;0),(SUM(AZ420:AZ447)-($C$36-$A$36)),SUM(AZ420:AZ447))</f>
        <v>62.5</v>
      </c>
      <c r="BA449" s="2542">
        <f t="shared" ref="BA449:BB449" si="3">IF(AND($O$36="4%",($C$36-$A$36)&gt;0),(SUM(BA420:BA447)-($C$36-$A$36)),SUM(BA420:BA447))</f>
        <v>28</v>
      </c>
      <c r="BB449" s="2542">
        <f t="shared" si="3"/>
        <v>28</v>
      </c>
      <c r="BC449" s="2542">
        <f t="shared" ref="BC449:BL449" si="4">SUM(BC420:BC447)</f>
        <v>32</v>
      </c>
      <c r="BD449" s="2542">
        <f t="shared" si="4"/>
        <v>32</v>
      </c>
      <c r="BE449" s="2542">
        <f t="shared" si="4"/>
        <v>32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3.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3.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3.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3.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3.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3.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3.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3.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3.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3.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3.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3.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3.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3.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3.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3.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3.5"/>
    <row r="613" s="2120" customFormat="1" ht="13.5"/>
    <row r="614" s="2120" customFormat="1" ht="13.5"/>
    <row r="615" s="2120" customFormat="1" ht="13.5"/>
    <row r="616" s="2120" customFormat="1" ht="13.5"/>
    <row r="617" s="2120" customFormat="1" ht="13.5"/>
    <row r="618" s="2120" customFormat="1" ht="13.5"/>
    <row r="619" s="2120" customFormat="1" ht="13.5"/>
    <row r="620" s="2120" customFormat="1" ht="13.5"/>
    <row r="621" s="2120" customFormat="1" ht="13.5"/>
    <row r="622" s="2120" customFormat="1" ht="13.5"/>
    <row r="623" s="2120" customFormat="1" ht="13.5"/>
    <row r="624" s="2120" customFormat="1" ht="13.5"/>
    <row r="625" s="2120" customFormat="1" ht="13.5"/>
    <row r="626" s="2120" customFormat="1" ht="13.5"/>
    <row r="627" s="2120" customFormat="1" ht="13.5"/>
    <row r="628" s="2120" customFormat="1" ht="13.5"/>
    <row r="629" s="2120" customFormat="1" ht="13.5"/>
    <row r="630" s="2120" customFormat="1" ht="13.5"/>
    <row r="631" s="2120" customFormat="1" ht="13.5"/>
    <row r="632" s="2120" customFormat="1" ht="13.5"/>
    <row r="633" s="2120" customFormat="1" ht="13.5"/>
    <row r="634" s="2120" customFormat="1" ht="13.5"/>
    <row r="635" s="2120" customFormat="1" ht="13.5"/>
    <row r="636" s="2120" customFormat="1" ht="13.5"/>
    <row r="637" s="2120" customFormat="1" ht="13.5"/>
    <row r="638" s="2120" customFormat="1" ht="13.5"/>
    <row r="639" s="2120" customFormat="1" ht="13.5"/>
    <row r="640" s="2120" customFormat="1" ht="13.5"/>
    <row r="641" s="2120" customFormat="1" ht="13.5"/>
    <row r="642" s="2120" customFormat="1" ht="13.5"/>
    <row r="643" s="2120" customFormat="1" ht="13.5"/>
    <row r="644" s="2120" customFormat="1" ht="13.5"/>
    <row r="645" s="2120" customFormat="1" ht="13.5"/>
    <row r="646" s="2120" customFormat="1" ht="13.5"/>
    <row r="647" s="2120" customFormat="1" ht="13.5"/>
    <row r="648" s="2120" customFormat="1" ht="13.5"/>
    <row r="649" s="2120" customFormat="1" ht="13.5"/>
    <row r="650" s="2120" customFormat="1" ht="13.5"/>
    <row r="651" s="2120" customFormat="1" ht="13.5"/>
    <row r="652" s="2120" customFormat="1" ht="13.5"/>
    <row r="653" s="2120" customFormat="1" ht="13.5"/>
    <row r="654" s="2120" customFormat="1" ht="13.5"/>
    <row r="655" s="2120" customFormat="1" ht="13.5"/>
    <row r="656" s="2120" customFormat="1" ht="13.5"/>
    <row r="657" s="2120" customFormat="1" ht="13.5"/>
    <row r="658" s="2120" customFormat="1" ht="13.5"/>
    <row r="659" s="2120" customFormat="1" ht="13.5"/>
    <row r="660" s="2120" customFormat="1" ht="13.5"/>
    <row r="661" s="2120" customFormat="1" ht="13.5"/>
    <row r="662" s="2120" customFormat="1" ht="13.5"/>
    <row r="663" s="2120" customFormat="1" ht="13.5"/>
    <row r="664" s="2120" customFormat="1" ht="13.5"/>
    <row r="665" s="2120" customFormat="1" ht="13.5"/>
    <row r="666" s="2120" customFormat="1" ht="13.5"/>
    <row r="667" s="2120" customFormat="1" ht="13.5"/>
    <row r="668" s="2120" customFormat="1" ht="13.5"/>
    <row r="669" s="2120" customFormat="1" ht="13.5"/>
    <row r="670" s="2120" customFormat="1" ht="13.5"/>
    <row r="671" s="2120" customFormat="1" ht="13.5"/>
    <row r="672" s="2120" customFormat="1" ht="13.5"/>
    <row r="673" s="2120" customFormat="1" ht="13.5"/>
    <row r="674" s="2120" customFormat="1" ht="13.5"/>
    <row r="675" s="2120" customFormat="1" ht="13.5"/>
    <row r="676" s="2120" customFormat="1" ht="13.5"/>
    <row r="677" s="2120" customFormat="1" ht="13.5"/>
    <row r="678" s="2120" customFormat="1" ht="13.5"/>
    <row r="679" s="2120" customFormat="1" ht="13.5"/>
    <row r="680" s="2120" customFormat="1" ht="13.5"/>
    <row r="681" s="2120" customFormat="1" ht="13.5"/>
    <row r="682" s="2120" customFormat="1" ht="13.5"/>
    <row r="683" s="2120" customFormat="1" ht="13.5"/>
    <row r="684" s="2120" customFormat="1" ht="13.5"/>
    <row r="685" s="2120" customFormat="1" ht="13.5"/>
    <row r="686" s="2120" customFormat="1" ht="13.5"/>
    <row r="687" s="2120" customFormat="1" ht="13.5"/>
    <row r="688" s="2120" customFormat="1" ht="13.5"/>
    <row r="689" s="2120" customFormat="1" ht="13.5"/>
    <row r="690" s="2120" customFormat="1" ht="13.5"/>
    <row r="691" s="2120" customFormat="1" ht="13.5"/>
    <row r="692" s="2120" customFormat="1" ht="13.5"/>
    <row r="693" s="2120" customFormat="1" ht="13.5"/>
    <row r="694" s="2120" customFormat="1" ht="13.5"/>
    <row r="695" s="2120" customFormat="1" ht="13.5"/>
    <row r="696" s="2120" customFormat="1" ht="13.5"/>
    <row r="697" s="2120" customFormat="1" ht="13.5"/>
    <row r="698" s="2120" customFormat="1" ht="13.5"/>
    <row r="699" s="2120" customFormat="1" ht="13.5"/>
    <row r="700" s="2120" customFormat="1" ht="13.5"/>
    <row r="701" s="2120" customFormat="1" ht="13.5"/>
    <row r="702" s="2120" customFormat="1" ht="13.5"/>
    <row r="703" s="2120" customFormat="1" ht="13.5"/>
    <row r="704" s="2120" customFormat="1" ht="13.5"/>
    <row r="705" s="2120" customFormat="1" ht="13.5"/>
    <row r="706" s="2120" customFormat="1" ht="13.5"/>
    <row r="707" s="2120" customFormat="1" ht="13.5"/>
    <row r="708" s="2120" customFormat="1" ht="13.5"/>
    <row r="709" s="2120" customFormat="1" ht="13.5"/>
    <row r="710" s="2120" customFormat="1" ht="13.5"/>
    <row r="711" s="2120" customFormat="1" ht="13.5"/>
    <row r="712" s="2120" customFormat="1" ht="13.5"/>
    <row r="713" s="2120" customFormat="1" ht="13.5"/>
    <row r="714" s="2120" customFormat="1" ht="13.5"/>
    <row r="715" s="2120" customFormat="1" ht="13.5"/>
    <row r="716" s="2120" customFormat="1" ht="13.5"/>
    <row r="717" s="2120" customFormat="1" ht="13.5"/>
    <row r="718" s="2120" customFormat="1" ht="13.5"/>
    <row r="719" s="2120" customFormat="1" ht="13.5"/>
    <row r="720" s="2120" customFormat="1" ht="13.5"/>
    <row r="721" s="2120" customFormat="1" ht="13.5"/>
    <row r="722" s="2120" customFormat="1" ht="13.5"/>
    <row r="723" s="2120" customFormat="1" ht="13.5"/>
    <row r="724" s="2120" customFormat="1" ht="13.5"/>
    <row r="725" s="2120" customFormat="1" ht="13.5"/>
    <row r="726" s="2120" customFormat="1" ht="13.5"/>
    <row r="727" s="2120" customFormat="1" ht="13.5"/>
    <row r="728" s="2120" customFormat="1" ht="13.5"/>
    <row r="729" s="2120" customFormat="1" ht="13.5"/>
    <row r="730" s="2120" customFormat="1" ht="13.5"/>
    <row r="731" s="2120" customFormat="1" ht="13.5"/>
    <row r="732" s="2120" customFormat="1" ht="13.5"/>
    <row r="733" s="2120" customFormat="1" ht="13.5"/>
    <row r="734" s="2120" customFormat="1" ht="13.5"/>
    <row r="735" s="2120" customFormat="1" ht="13.5"/>
    <row r="736" s="2120" customFormat="1" ht="13.5"/>
    <row r="737" s="2120" customFormat="1" ht="13.5"/>
    <row r="738" s="2120" customFormat="1" ht="13.5"/>
    <row r="739" s="2120" customFormat="1" ht="13.5"/>
    <row r="740" s="2120" customFormat="1" ht="13.5"/>
    <row r="741" s="2120" customFormat="1" ht="13.5"/>
    <row r="742" s="2120" customFormat="1" ht="13.5"/>
    <row r="743" s="2120" customFormat="1" ht="13.5"/>
    <row r="744" s="2120" customFormat="1" ht="13.5"/>
    <row r="745" s="2120" customFormat="1" ht="13.5"/>
    <row r="746" s="2120" customFormat="1" ht="13.5"/>
    <row r="747" s="2120" customFormat="1" ht="13.5"/>
    <row r="748" s="2120" customFormat="1" ht="13.5"/>
    <row r="749" s="2120" customFormat="1" ht="13.5"/>
    <row r="750" s="2120" customFormat="1" ht="13.5"/>
    <row r="751" s="2120" customFormat="1" ht="13.5"/>
    <row r="752" s="2120" customFormat="1" ht="13.5"/>
    <row r="753" s="2120" customFormat="1" ht="13.5"/>
    <row r="754" s="2120" customFormat="1" ht="13.5"/>
    <row r="755" s="2120" customFormat="1" ht="13.5"/>
    <row r="756" s="2120" customFormat="1" ht="13.5"/>
    <row r="757" s="2120" customFormat="1" ht="13.5"/>
    <row r="758" s="2120" customFormat="1" ht="13.5"/>
    <row r="759" s="2120" customFormat="1" ht="13.5"/>
    <row r="760" s="2120" customFormat="1" ht="13.5"/>
    <row r="761" s="2120" customFormat="1" ht="13.5"/>
    <row r="762" s="2120" customFormat="1" ht="13.5"/>
    <row r="763" s="2120" customFormat="1" ht="13.5"/>
    <row r="764" s="2120" customFormat="1" ht="13.5"/>
    <row r="765" s="2120" customFormat="1" ht="13.5"/>
    <row r="766" s="2120" customFormat="1" ht="13.5"/>
    <row r="767" s="2120" customFormat="1" ht="13.5"/>
    <row r="768" s="2120" customFormat="1" ht="13.5"/>
    <row r="769" s="2120" customFormat="1" ht="13.5"/>
    <row r="770" s="2120" customFormat="1" ht="13.5"/>
    <row r="771" s="2120" customFormat="1" ht="13.5"/>
    <row r="772" s="2120" customFormat="1" ht="13.5"/>
    <row r="773" s="2120" customFormat="1" ht="13.5"/>
    <row r="774" s="2120" customFormat="1" ht="13.5"/>
    <row r="775" s="2120" customFormat="1" ht="13.5"/>
    <row r="776" s="2120" customFormat="1" ht="13.5"/>
    <row r="777" s="2120" customFormat="1" ht="13.5"/>
    <row r="778" s="2120" customFormat="1" ht="13.5"/>
    <row r="779" s="2120" customFormat="1" ht="13.5"/>
    <row r="780" s="2120" customFormat="1" ht="13.5"/>
    <row r="781" s="2120" customFormat="1" ht="13.5"/>
    <row r="782" s="2120" customFormat="1" ht="13.5"/>
    <row r="783" s="2120" customFormat="1" ht="13.5"/>
    <row r="784" s="2120" customFormat="1" ht="13.5"/>
    <row r="785" s="2120" customFormat="1" ht="13.5"/>
    <row r="786" s="2120" customFormat="1" ht="13.5"/>
    <row r="787" s="2120" customFormat="1" ht="13.5"/>
    <row r="788" s="2120" customFormat="1" ht="13.5"/>
    <row r="789" s="2120" customFormat="1" ht="13.5"/>
    <row r="790" s="2120" customFormat="1" ht="13.5"/>
    <row r="791" s="2120" customFormat="1" ht="13.5"/>
    <row r="792" s="2120" customFormat="1" ht="13.5"/>
    <row r="793" s="2120" customFormat="1" ht="13.5"/>
    <row r="794" s="2120" customFormat="1" ht="13.5"/>
    <row r="795" s="2120" customFormat="1" ht="13.5"/>
    <row r="796" s="2120" customFormat="1" ht="13.5"/>
    <row r="797" s="2120" customFormat="1" ht="13.5"/>
    <row r="798" s="2120" customFormat="1" ht="13.5"/>
    <row r="799" s="2120" customFormat="1" ht="13.5"/>
    <row r="800" s="2120" customFormat="1" ht="13.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N4" sqref="N4"/>
    </sheetView>
  </sheetViews>
  <sheetFormatPr defaultColWidth="8.73046875" defaultRowHeight="15"/>
  <cols>
    <col min="1" max="1" width="2.265625" style="809" customWidth="1"/>
    <col min="2" max="13" width="7.73046875" style="809" customWidth="1"/>
    <col min="14" max="15" width="5.73046875" style="809" customWidth="1"/>
    <col min="16" max="16384" width="8.73046875" style="809"/>
  </cols>
  <sheetData>
    <row r="1" spans="1:26" ht="17.649999999999999">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6926</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3188</v>
      </c>
      <c r="C13" s="4105"/>
      <c r="D13" s="4105"/>
      <c r="E13" s="4105"/>
      <c r="F13" s="4105"/>
      <c r="G13" s="4105"/>
      <c r="H13" s="4105"/>
      <c r="I13" s="4105"/>
      <c r="J13" s="4105"/>
      <c r="K13" s="4105"/>
      <c r="L13" s="4105"/>
      <c r="M13" s="4105"/>
      <c r="U13" s="809" t="s">
        <v>6270</v>
      </c>
    </row>
    <row r="14" spans="1:26" ht="47.25" customHeight="1">
      <c r="A14" s="815" t="s">
        <v>1615</v>
      </c>
      <c r="B14" s="4105" t="s">
        <v>3189</v>
      </c>
      <c r="C14" s="4105"/>
      <c r="D14" s="4105"/>
      <c r="E14" s="4105"/>
      <c r="F14" s="4105"/>
      <c r="G14" s="4105"/>
      <c r="H14" s="4105"/>
      <c r="I14" s="4105"/>
      <c r="J14" s="4105"/>
      <c r="K14" s="4105"/>
      <c r="L14" s="4105"/>
      <c r="M14" s="4105"/>
    </row>
    <row r="15" spans="1:26" ht="117" customHeight="1">
      <c r="A15" s="815" t="s">
        <v>1616</v>
      </c>
      <c r="B15" s="4105" t="s">
        <v>3190</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3191</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3087</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3088</v>
      </c>
      <c r="C25" s="4105"/>
      <c r="D25" s="4105"/>
      <c r="E25" s="4105"/>
      <c r="F25" s="4105"/>
      <c r="G25" s="4105"/>
      <c r="H25" s="4105"/>
      <c r="I25" s="4105"/>
      <c r="J25" s="4105"/>
      <c r="K25" s="4105"/>
      <c r="L25" s="4105"/>
      <c r="M25" s="4105"/>
    </row>
    <row r="26" spans="1:13" ht="31.5" customHeight="1">
      <c r="A26" s="815" t="s">
        <v>1375</v>
      </c>
      <c r="B26" s="4105" t="s">
        <v>3089</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c r="A35" s="4106" t="s">
        <v>7050</v>
      </c>
      <c r="B35" s="4106"/>
      <c r="C35" s="4106"/>
      <c r="D35" s="4106"/>
      <c r="E35" s="4106"/>
      <c r="F35" s="4106"/>
      <c r="G35" s="813"/>
      <c r="H35" s="4106" t="s">
        <v>7049</v>
      </c>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c r="A38" s="4108"/>
      <c r="B38" s="4108"/>
      <c r="C38" s="4108"/>
      <c r="D38" s="4108"/>
      <c r="E38" s="4108"/>
      <c r="F38" s="4108"/>
      <c r="G38" s="813"/>
      <c r="H38" s="4109">
        <v>45047</v>
      </c>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5625" defaultRowHeight="13.5"/>
  <cols>
    <col min="1" max="1" width="5.3984375" style="1327" customWidth="1"/>
    <col min="2" max="2" width="6.265625" style="1327" customWidth="1"/>
    <col min="3" max="3" width="9.73046875" style="1327" customWidth="1"/>
    <col min="4" max="4" width="10.3984375" style="1327" customWidth="1"/>
    <col min="5" max="5" width="7.73046875" style="1331" customWidth="1"/>
    <col min="6" max="6" width="8" style="1327" customWidth="1"/>
    <col min="7" max="7" width="8.73046875" style="1327" customWidth="1"/>
    <col min="8" max="8" width="10.265625" style="1327" customWidth="1"/>
    <col min="9" max="9" width="10.73046875" style="1327" customWidth="1"/>
    <col min="10" max="11" width="11.73046875" style="1327" customWidth="1"/>
    <col min="12" max="16384" width="9.265625" style="1327"/>
  </cols>
  <sheetData>
    <row r="1" spans="1:11" ht="17.649999999999999">
      <c r="A1" s="1374" t="s">
        <v>3965</v>
      </c>
      <c r="B1" s="1374"/>
      <c r="C1" s="1374"/>
      <c r="D1" s="1374"/>
      <c r="E1" s="1374"/>
      <c r="F1" s="1374"/>
      <c r="G1" s="1374"/>
      <c r="H1" s="1374"/>
    </row>
    <row r="2" spans="1:11" ht="18" thickBot="1">
      <c r="A2" s="1374" t="s">
        <v>3966</v>
      </c>
      <c r="B2" s="1374"/>
      <c r="C2" s="1374"/>
      <c r="D2" s="1374"/>
      <c r="E2" s="1374"/>
      <c r="F2" s="1374"/>
      <c r="G2" s="1374"/>
      <c r="H2" s="1374"/>
    </row>
    <row r="3" spans="1:11" ht="15" customHeight="1" thickBot="1">
      <c r="A3" s="1328" t="s">
        <v>3967</v>
      </c>
      <c r="B3" s="1329"/>
      <c r="C3" s="1330"/>
      <c r="D3" s="4166" t="str">
        <f>'Part I-Project Identification'!F25</f>
        <v>Dogwood Trail Apartments II</v>
      </c>
      <c r="E3" s="4167"/>
      <c r="F3" s="4167"/>
      <c r="G3" s="4167"/>
      <c r="H3" s="4167"/>
      <c r="I3" s="4167"/>
      <c r="J3" s="4168" t="s">
        <v>6170</v>
      </c>
      <c r="K3" s="4169"/>
    </row>
    <row r="4" spans="1:11" ht="15" customHeight="1">
      <c r="A4" s="1332" t="s">
        <v>3968</v>
      </c>
      <c r="B4" s="1333"/>
      <c r="C4" s="1334"/>
      <c r="D4" s="4170"/>
      <c r="E4" s="4171"/>
      <c r="F4" s="4171"/>
      <c r="G4" s="4171"/>
      <c r="H4" s="4171"/>
      <c r="I4" s="4171"/>
      <c r="J4" s="4172" t="s">
        <v>4009</v>
      </c>
      <c r="K4" s="4173"/>
    </row>
    <row r="5" spans="1:11" ht="15" customHeight="1" thickBot="1">
      <c r="A5" s="1335" t="s">
        <v>3969</v>
      </c>
      <c r="B5" s="1336"/>
      <c r="C5" s="1337"/>
      <c r="D5" s="4176"/>
      <c r="E5" s="4177"/>
      <c r="F5" s="4177"/>
      <c r="G5" s="4177"/>
      <c r="H5" s="4177"/>
      <c r="I5" s="4177"/>
      <c r="J5" s="4174"/>
      <c r="K5" s="4175"/>
    </row>
    <row r="6" spans="1:11" ht="9" customHeight="1" thickBot="1">
      <c r="E6" s="1327"/>
    </row>
    <row r="7" spans="1:11">
      <c r="A7" s="4184" t="s">
        <v>3971</v>
      </c>
      <c r="B7" s="4185"/>
      <c r="C7" s="4185"/>
      <c r="D7" s="4185"/>
      <c r="E7" s="4185"/>
      <c r="F7" s="4185"/>
      <c r="G7" s="4185"/>
      <c r="H7" s="4185"/>
      <c r="I7" s="4185"/>
      <c r="J7" s="4185"/>
      <c r="K7" s="4186"/>
    </row>
    <row r="8" spans="1:11" ht="14.25" customHeight="1">
      <c r="A8" s="1333"/>
      <c r="B8" s="1333"/>
      <c r="C8" s="1567">
        <v>1</v>
      </c>
      <c r="D8" s="1352" t="s">
        <v>3972</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3973</v>
      </c>
      <c r="B10" s="4188"/>
      <c r="C10" s="4188"/>
      <c r="D10" s="4188"/>
      <c r="E10" s="4188"/>
      <c r="F10" s="4188"/>
      <c r="G10" s="4188"/>
      <c r="H10" s="4188"/>
      <c r="I10" s="4188"/>
      <c r="J10" s="4188"/>
      <c r="K10" s="4189"/>
    </row>
    <row r="11" spans="1:11" ht="14.25" customHeight="1">
      <c r="A11" s="1333"/>
      <c r="B11" s="1333"/>
      <c r="C11" s="1567">
        <v>2</v>
      </c>
      <c r="D11" s="1352" t="s">
        <v>3974</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3975</v>
      </c>
      <c r="B13" s="4188"/>
      <c r="C13" s="4188"/>
      <c r="D13" s="4188"/>
      <c r="E13" s="4188"/>
      <c r="F13" s="4188"/>
      <c r="G13" s="4188"/>
      <c r="H13" s="4188"/>
      <c r="I13" s="4188"/>
      <c r="J13" s="4188"/>
      <c r="K13" s="4189"/>
    </row>
    <row r="14" spans="1:11" ht="14.25" customHeight="1">
      <c r="A14" s="1333"/>
      <c r="B14" s="1333"/>
      <c r="C14" s="1568">
        <v>3</v>
      </c>
      <c r="D14" s="1356" t="s">
        <v>3976</v>
      </c>
      <c r="E14" s="1356"/>
      <c r="F14" s="1356"/>
      <c r="G14" s="1356"/>
      <c r="H14" s="1356"/>
      <c r="I14" s="1356"/>
      <c r="J14" s="4178"/>
      <c r="K14" s="4179"/>
    </row>
    <row r="15" spans="1:11" ht="14.25" customHeight="1">
      <c r="A15" s="1333"/>
      <c r="B15" s="1333"/>
      <c r="C15" s="1569">
        <v>4</v>
      </c>
      <c r="D15" s="1333" t="s">
        <v>3977</v>
      </c>
      <c r="E15" s="1333"/>
      <c r="F15" s="1333"/>
      <c r="G15" s="1333"/>
      <c r="H15" s="1333"/>
      <c r="I15" s="1333"/>
      <c r="J15" s="4119"/>
      <c r="K15" s="4120"/>
    </row>
    <row r="16" spans="1:11" ht="14.25" customHeight="1">
      <c r="A16" s="1333"/>
      <c r="B16" s="1333"/>
      <c r="C16" s="1569">
        <v>5</v>
      </c>
      <c r="D16" s="1333" t="s">
        <v>3978</v>
      </c>
      <c r="E16" s="1333"/>
      <c r="F16" s="1333"/>
      <c r="G16" s="1333"/>
      <c r="H16" s="1333"/>
      <c r="I16" s="1333"/>
      <c r="J16" s="4119"/>
      <c r="K16" s="4120"/>
    </row>
    <row r="17" spans="1:13" ht="14.25" customHeight="1">
      <c r="A17" s="1333"/>
      <c r="B17" s="1333"/>
      <c r="C17" s="1570">
        <v>6</v>
      </c>
      <c r="D17" s="1336" t="s">
        <v>3979</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3980</v>
      </c>
      <c r="E19" s="1356"/>
      <c r="F19" s="1356"/>
      <c r="G19" s="1356"/>
      <c r="H19" s="1356"/>
      <c r="I19" s="1356"/>
      <c r="J19" s="4115" t="str">
        <f>IF(J17="No",J14-J15,IF(J17="Yes",J14-J15-J16,"Error"))</f>
        <v>Error</v>
      </c>
      <c r="K19" s="4116"/>
    </row>
    <row r="20" spans="1:13" ht="14.25" customHeight="1">
      <c r="A20" s="1333"/>
      <c r="B20" s="1333"/>
      <c r="C20" s="1570">
        <v>8</v>
      </c>
      <c r="D20" s="1336" t="s">
        <v>3981</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3982</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7.649999999999999">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4013</v>
      </c>
      <c r="B30" s="4155"/>
      <c r="C30" s="4155"/>
      <c r="D30" s="4155"/>
      <c r="E30" s="4155"/>
      <c r="F30" s="4155"/>
      <c r="G30" s="4155"/>
      <c r="H30" s="4155"/>
      <c r="I30" s="4155"/>
      <c r="J30" s="4155"/>
      <c r="K30" s="4156"/>
    </row>
    <row r="31" spans="1:13">
      <c r="B31" s="4157" t="s">
        <v>6170</v>
      </c>
      <c r="C31" s="4157"/>
      <c r="D31" s="4157"/>
      <c r="E31" s="4157"/>
      <c r="F31" s="4157"/>
      <c r="G31" s="4158" t="s">
        <v>3984</v>
      </c>
      <c r="H31" s="4159"/>
      <c r="I31" s="4159"/>
      <c r="J31" s="4159"/>
      <c r="K31" s="4160"/>
    </row>
    <row r="32" spans="1:13" ht="56.25" customHeight="1">
      <c r="A32" s="1351"/>
      <c r="B32" s="1369" t="s">
        <v>4012</v>
      </c>
      <c r="C32" s="1370" t="s">
        <v>4008</v>
      </c>
      <c r="D32" s="1370" t="s">
        <v>4007</v>
      </c>
      <c r="E32" s="4161" t="s">
        <v>6098</v>
      </c>
      <c r="F32" s="4162"/>
      <c r="G32" s="1371" t="s">
        <v>3985</v>
      </c>
      <c r="H32" s="1371" t="s">
        <v>3986</v>
      </c>
      <c r="J32" s="1371" t="s">
        <v>3987</v>
      </c>
      <c r="K32" s="1371" t="s">
        <v>3988</v>
      </c>
      <c r="L32" s="4163" t="s">
        <v>3989</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3990</v>
      </c>
      <c r="H52" s="1372" t="e">
        <f>SUM(H33:H51)</f>
        <v>#VALUE!</v>
      </c>
      <c r="I52" s="1356"/>
      <c r="J52" s="1362" t="s">
        <v>3991</v>
      </c>
      <c r="K52" s="1358" t="e">
        <f>SUM(K33:K51)</f>
        <v>#VALUE!</v>
      </c>
      <c r="L52" s="4163"/>
      <c r="M52" s="4163"/>
    </row>
    <row r="53" spans="1:13" ht="15" customHeight="1">
      <c r="B53" s="1363"/>
      <c r="C53" s="4149" t="s">
        <v>3992</v>
      </c>
      <c r="D53" s="4149"/>
      <c r="E53" s="4149"/>
      <c r="F53" s="4149"/>
      <c r="G53" s="4149"/>
      <c r="H53" s="4149"/>
      <c r="I53" s="4149"/>
      <c r="J53" s="4150"/>
      <c r="K53" s="1364" t="str">
        <f>IF(J17="no",0,IF(J17="yes",J16,"Error"))</f>
        <v>Error</v>
      </c>
      <c r="L53" s="4163"/>
      <c r="M53" s="4163"/>
    </row>
    <row r="54" spans="1:13" ht="15" customHeight="1" thickBot="1">
      <c r="B54" s="1363"/>
      <c r="C54" s="4151" t="s">
        <v>3993</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3994</v>
      </c>
      <c r="B56" s="4125"/>
      <c r="C56" s="4125"/>
      <c r="D56" s="4125"/>
      <c r="E56" s="4125"/>
      <c r="F56" s="4125"/>
      <c r="G56" s="4125"/>
      <c r="H56" s="4125"/>
      <c r="I56" s="4125"/>
      <c r="J56" s="4125"/>
      <c r="K56" s="4126"/>
    </row>
    <row r="57" spans="1:13" ht="48" customHeight="1">
      <c r="A57" s="1348"/>
      <c r="B57" s="1339"/>
      <c r="C57" s="1350" t="s">
        <v>3995</v>
      </c>
      <c r="D57" s="1483" t="s">
        <v>6063</v>
      </c>
      <c r="E57" s="4136" t="s">
        <v>4011</v>
      </c>
      <c r="F57" s="4137"/>
      <c r="G57" s="4138" t="s">
        <v>3996</v>
      </c>
      <c r="H57" s="4139"/>
      <c r="I57" s="4136" t="s">
        <v>4010</v>
      </c>
      <c r="J57" s="4137"/>
      <c r="K57" s="4140"/>
    </row>
    <row r="58" spans="1:13" ht="15" customHeight="1">
      <c r="A58" s="1465"/>
      <c r="B58" s="1381"/>
      <c r="C58" s="1359">
        <f>SUMIF(C33:C51, "0", H33:H51)</f>
        <v>0</v>
      </c>
      <c r="D58" s="1484">
        <f t="shared" ref="D58:D63" si="4">ROUNDUP(C58*1.1,0)</f>
        <v>0</v>
      </c>
      <c r="E58" s="4142" t="s">
        <v>3997</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3998</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3999</v>
      </c>
      <c r="F63" s="4134"/>
      <c r="G63" s="4130">
        <f>'DCA Underwriting Assumptions'!H133</f>
        <v>316236</v>
      </c>
      <c r="H63" s="4131"/>
      <c r="I63" s="4135">
        <f t="shared" si="5"/>
        <v>0</v>
      </c>
      <c r="J63" s="4135"/>
      <c r="K63" s="1384"/>
    </row>
    <row r="64" spans="1:13" ht="13.9" thickBot="1">
      <c r="A64" s="1481" t="s">
        <v>4000</v>
      </c>
      <c r="B64" s="1377">
        <f>SUM(C58:C63)</f>
        <v>0</v>
      </c>
      <c r="C64" s="1487"/>
      <c r="D64" s="1487">
        <f>SUM(D58:D63)</f>
        <v>0</v>
      </c>
      <c r="E64" s="1480"/>
      <c r="F64" s="1480"/>
      <c r="G64" s="1480"/>
      <c r="H64" s="1480"/>
      <c r="I64" s="1480"/>
      <c r="J64" s="1466" t="s">
        <v>4001</v>
      </c>
      <c r="K64" s="1376">
        <f>SUM(I58:I62)</f>
        <v>0</v>
      </c>
    </row>
    <row r="65" spans="1:11">
      <c r="A65" s="4123"/>
      <c r="B65" s="4123"/>
      <c r="C65" s="4123"/>
      <c r="D65" s="4123"/>
      <c r="E65" s="4123"/>
      <c r="F65" s="4123"/>
      <c r="G65" s="4123"/>
      <c r="H65" s="4123"/>
      <c r="I65" s="4123"/>
      <c r="J65" s="4123"/>
    </row>
    <row r="66" spans="1:11">
      <c r="A66" s="4124" t="s">
        <v>4002</v>
      </c>
      <c r="B66" s="4125"/>
      <c r="C66" s="4125"/>
      <c r="D66" s="4125"/>
      <c r="E66" s="4125"/>
      <c r="F66" s="4125"/>
      <c r="G66" s="4125"/>
      <c r="H66" s="4125"/>
      <c r="I66" s="4125"/>
      <c r="J66" s="4125"/>
      <c r="K66" s="412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3.9" thickBot="1">
      <c r="A69" s="1380"/>
      <c r="B69" s="1340"/>
      <c r="C69" s="1340"/>
      <c r="D69" s="1340"/>
      <c r="E69" s="1340" t="s">
        <v>4005</v>
      </c>
      <c r="F69" s="1340"/>
      <c r="G69" s="1340"/>
      <c r="H69" s="1340"/>
      <c r="I69" s="1340"/>
      <c r="J69" s="1382"/>
      <c r="K69" s="1385">
        <f>K64</f>
        <v>0</v>
      </c>
    </row>
    <row r="70" spans="1:11" ht="13.9" thickBot="1">
      <c r="A70" s="1349"/>
      <c r="B70" s="1341"/>
      <c r="C70" s="4127" t="s">
        <v>4006</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5625" defaultRowHeight="12.75"/>
  <cols>
    <col min="1" max="1" width="5.265625" style="28" customWidth="1"/>
    <col min="2" max="2" width="2.59765625" style="28" customWidth="1"/>
    <col min="3" max="3" width="2.265625" style="28" customWidth="1"/>
    <col min="4" max="10" width="8.73046875" style="28" customWidth="1"/>
    <col min="11" max="11" width="7.59765625" style="28" customWidth="1"/>
    <col min="12" max="15" width="9.265625" style="28" customWidth="1"/>
    <col min="16" max="16" width="8.73046875" style="28" customWidth="1"/>
    <col min="17" max="17" width="9.265625" style="28" customWidth="1"/>
    <col min="18" max="16384" width="9.26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Dogwood Trail Apartments II, Albany, Dougherty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6530</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ht="13.15">
      <c r="E5" s="4319" t="str">
        <f>'Part I-Project Identification'!$A$6</f>
        <v>April 2023</v>
      </c>
      <c r="F5" s="4319"/>
      <c r="G5" s="4319"/>
      <c r="H5" s="4319"/>
      <c r="I5" s="4319"/>
      <c r="J5" s="490"/>
      <c r="K5" s="1805"/>
      <c r="L5" s="1806" t="s">
        <v>6529</v>
      </c>
      <c r="M5" s="1807" t="str">
        <f>'Part I-Project Identification'!$F$12</f>
        <v>9% Credit Competitive Round only</v>
      </c>
      <c r="N5" s="1808"/>
      <c r="O5" s="1809"/>
      <c r="P5" s="4322"/>
      <c r="Q5" s="4368"/>
      <c r="R5" s="1604"/>
      <c r="S5" s="1604"/>
    </row>
    <row r="6" spans="1:19" ht="17.25" customHeight="1">
      <c r="A6" s="96" t="s">
        <v>6528</v>
      </c>
      <c r="I6" s="490"/>
      <c r="J6" s="490"/>
      <c r="K6" s="4317" t="s">
        <v>3280</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199"/>
      <c r="Q27" s="4200"/>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6640</v>
      </c>
      <c r="C35" s="4"/>
      <c r="D35" s="4"/>
      <c r="E35" s="887"/>
      <c r="F35" s="887"/>
      <c r="H35" s="887"/>
      <c r="J35" s="3040" t="s">
        <v>6464</v>
      </c>
      <c r="K35" s="3041"/>
      <c r="L35" s="3042"/>
      <c r="M35" s="147" t="s">
        <v>1647</v>
      </c>
      <c r="N35" s="4190"/>
      <c r="O35" s="4191"/>
      <c r="P35" s="4191"/>
      <c r="Q35" s="4192"/>
    </row>
    <row r="36" spans="1:31" ht="12.75" customHeight="1">
      <c r="A36" s="2"/>
      <c r="B36" s="108" t="s">
        <v>6639</v>
      </c>
      <c r="C36" s="4"/>
      <c r="D36" s="4"/>
      <c r="E36" s="887"/>
      <c r="F36" s="887"/>
      <c r="G36" s="1664"/>
      <c r="H36" s="887"/>
      <c r="J36" s="3040" t="s">
        <v>6465</v>
      </c>
      <c r="K36" s="3041"/>
      <c r="L36" s="3042"/>
      <c r="M36" s="147" t="s">
        <v>1647</v>
      </c>
      <c r="N36" s="4190"/>
      <c r="O36" s="4191"/>
      <c r="P36" s="4191"/>
      <c r="Q36" s="4192"/>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199"/>
      <c r="Q40" s="4200"/>
    </row>
    <row r="41" spans="1:31" ht="1.5" customHeight="1"/>
    <row r="42" spans="1:31" ht="12" customHeight="1">
      <c r="A42" s="110" t="s">
        <v>1841</v>
      </c>
      <c r="B42" s="4193" t="s">
        <v>3783</v>
      </c>
      <c r="C42" s="4193"/>
      <c r="D42" s="4193"/>
      <c r="E42" s="4193"/>
      <c r="F42" s="4193"/>
      <c r="G42" s="4193"/>
      <c r="H42" s="4193"/>
      <c r="I42" s="4193"/>
      <c r="J42" s="4193"/>
      <c r="K42" s="115"/>
      <c r="L42" s="347" t="s">
        <v>2580</v>
      </c>
      <c r="M42" s="1203">
        <v>2</v>
      </c>
      <c r="N42" s="108" t="s">
        <v>4020</v>
      </c>
      <c r="P42" s="4345"/>
      <c r="Q42" s="4355"/>
    </row>
    <row r="43" spans="1:31" ht="12" customHeight="1">
      <c r="A43" s="110"/>
      <c r="B43" s="4193"/>
      <c r="C43" s="4193"/>
      <c r="D43" s="4193"/>
      <c r="E43" s="4193"/>
      <c r="F43" s="4193"/>
      <c r="G43" s="4193"/>
      <c r="H43" s="4193"/>
      <c r="I43" s="4193"/>
      <c r="J43" s="4193"/>
      <c r="K43" s="115"/>
      <c r="L43" s="347" t="s">
        <v>3787</v>
      </c>
      <c r="M43" s="1204">
        <v>4</v>
      </c>
      <c r="O43" s="111"/>
      <c r="P43" s="4346"/>
      <c r="Q43" s="4356"/>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6"/>
      <c r="M50" s="4217"/>
      <c r="N50" s="4217"/>
      <c r="O50" s="4217"/>
      <c r="P50" s="4217"/>
      <c r="Q50" s="4295"/>
    </row>
    <row r="51" spans="1:31" ht="12.75" customHeight="1">
      <c r="A51" s="112"/>
      <c r="B51" s="372" t="s">
        <v>1448</v>
      </c>
      <c r="C51" s="4193" t="s">
        <v>3793</v>
      </c>
      <c r="D51" s="4193"/>
      <c r="E51" s="4193"/>
      <c r="F51" s="4193"/>
      <c r="G51" s="4193"/>
      <c r="H51" s="4193"/>
      <c r="I51" s="4193"/>
      <c r="J51" s="4193"/>
      <c r="K51" s="4193"/>
      <c r="L51" s="4193"/>
      <c r="M51" s="413"/>
      <c r="N51" s="108" t="s">
        <v>4025</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3945</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3948</v>
      </c>
      <c r="D84" s="4193"/>
      <c r="E84" s="4193"/>
      <c r="F84" s="4193"/>
      <c r="G84" s="4193"/>
      <c r="H84" s="4193"/>
      <c r="I84" s="4193"/>
      <c r="J84" s="4193"/>
      <c r="K84" s="4193"/>
      <c r="L84" s="4193"/>
      <c r="M84" s="4193"/>
      <c r="N84" s="4193"/>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6531</v>
      </c>
      <c r="O92" s="101" t="s">
        <v>1731</v>
      </c>
      <c r="P92" s="4199"/>
      <c r="Q92" s="4200"/>
      <c r="R92" s="860" t="s">
        <v>6518</v>
      </c>
    </row>
    <row r="93" spans="1:31" ht="6.6" customHeight="1"/>
    <row r="94" spans="1:31">
      <c r="A94" s="40" t="s">
        <v>1841</v>
      </c>
      <c r="B94" s="29" t="s">
        <v>6185</v>
      </c>
      <c r="D94" s="103"/>
      <c r="E94" s="103"/>
      <c r="F94" s="103"/>
      <c r="G94" s="103"/>
      <c r="H94" s="103"/>
      <c r="I94" s="35"/>
      <c r="J94" s="35"/>
      <c r="K94" s="48" t="s">
        <v>1841</v>
      </c>
      <c r="L94" s="4238"/>
      <c r="M94" s="4238"/>
      <c r="N94" s="4238"/>
      <c r="O94" s="4238"/>
      <c r="P94" s="423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199"/>
      <c r="Q130" s="4200"/>
      <c r="R130" s="860" t="s">
        <v>6518</v>
      </c>
    </row>
    <row r="131" spans="1:31" ht="12" customHeight="1">
      <c r="A131" s="40" t="s">
        <v>1841</v>
      </c>
      <c r="B131" s="113" t="s">
        <v>1614</v>
      </c>
      <c r="C131" s="29" t="s">
        <v>6533</v>
      </c>
      <c r="D131" s="29"/>
      <c r="E131" s="29"/>
      <c r="F131" s="29"/>
      <c r="G131" s="29"/>
      <c r="K131" s="29" t="s">
        <v>2460</v>
      </c>
      <c r="M131" s="4302"/>
      <c r="N131" s="4303"/>
      <c r="O131" s="49" t="s">
        <v>1614</v>
      </c>
      <c r="P131" s="74"/>
      <c r="Q131" s="417"/>
    </row>
    <row r="132" spans="1:31" ht="12" customHeight="1">
      <c r="A132" s="40"/>
      <c r="B132" s="113" t="s">
        <v>1615</v>
      </c>
      <c r="C132" s="29" t="s">
        <v>4054</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6840</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6191</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3232</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3798</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3233</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3831</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6531</v>
      </c>
      <c r="O151" s="101" t="s">
        <v>1731</v>
      </c>
      <c r="P151" s="4199"/>
      <c r="Q151" s="4200"/>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3234</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3305</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199"/>
      <c r="Q169" s="4200"/>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3239</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199"/>
      <c r="Q177" s="4200"/>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6192</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40</v>
      </c>
      <c r="P197" s="4227" t="s">
        <v>3854</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3400</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6" t="s">
        <v>950</v>
      </c>
      <c r="D202" s="4287"/>
      <c r="E202" s="4287"/>
      <c r="F202" s="4287"/>
      <c r="G202" s="4288"/>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6743</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Yes</v>
      </c>
      <c r="M217" s="887"/>
      <c r="O217" s="101" t="s">
        <v>1731</v>
      </c>
      <c r="P217" s="4199"/>
      <c r="Q217" s="4200"/>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6114</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6194</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6205</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6206</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3244</v>
      </c>
      <c r="C246" s="4223"/>
      <c r="D246" s="4223"/>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6501</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4029</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4055</v>
      </c>
      <c r="D260" s="4193"/>
      <c r="E260" s="4193"/>
      <c r="F260" s="4193"/>
      <c r="G260" s="4193"/>
      <c r="H260" s="4193"/>
      <c r="I260" s="4193"/>
      <c r="J260" s="4193"/>
      <c r="K260" s="4193"/>
      <c r="L260" s="4193"/>
      <c r="M260" s="4193"/>
      <c r="N260" s="4193"/>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6119</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3846</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3336</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6655</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6656</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6200</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6203</v>
      </c>
      <c r="E288" s="4193"/>
      <c r="F288" s="4193"/>
      <c r="G288" s="4193"/>
      <c r="H288" s="4193"/>
      <c r="I288" s="108"/>
      <c r="J288" s="4201" t="s">
        <v>3265</v>
      </c>
      <c r="K288" s="4227"/>
      <c r="L288" s="4227"/>
      <c r="M288" s="4331" t="s">
        <v>3246</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3386</v>
      </c>
      <c r="K290" s="1595"/>
      <c r="L290" s="795" t="str">
        <f>IF(K290&lt;M290,"Check!!!","")</f>
        <v>Check!!!</v>
      </c>
      <c r="M290" s="1597">
        <f>ROUNDUP('Part V-Revenues &amp; Expenses'!$P$67*'Part VII-Threshold Criteria OLD'!N290,0)</f>
        <v>2</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6204</v>
      </c>
      <c r="E291" s="4193"/>
      <c r="F291" s="4193"/>
      <c r="G291" s="4193"/>
      <c r="H291" s="4193"/>
      <c r="I291" s="370" t="s">
        <v>3387</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6740</v>
      </c>
      <c r="D293" s="4193"/>
      <c r="E293" s="4193"/>
      <c r="F293" s="4193"/>
      <c r="G293" s="4193"/>
      <c r="H293" s="4193"/>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6718</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6657</v>
      </c>
      <c r="D299" s="4193"/>
      <c r="E299" s="4193"/>
      <c r="F299" s="4193"/>
      <c r="G299" s="4193"/>
      <c r="H299" s="4193"/>
      <c r="I299" s="4193"/>
      <c r="J299" s="4193"/>
      <c r="K299" s="4193"/>
      <c r="L299" s="4193"/>
      <c r="M299" s="4193"/>
      <c r="N299" s="4193"/>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3832</v>
      </c>
      <c r="D300" s="4193"/>
      <c r="E300" s="4193"/>
      <c r="F300" s="4193"/>
      <c r="G300" s="4193"/>
      <c r="H300" s="4193"/>
      <c r="I300" s="4193"/>
      <c r="J300" s="4193"/>
      <c r="K300" s="4193"/>
      <c r="L300" s="4193"/>
      <c r="M300" s="4193"/>
      <c r="N300" s="4193"/>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3168</v>
      </c>
      <c r="D301" s="4193"/>
      <c r="E301" s="4193"/>
      <c r="F301" s="4193"/>
      <c r="G301" s="4193"/>
      <c r="H301" s="4193"/>
      <c r="I301" s="4193"/>
      <c r="J301" s="4193"/>
      <c r="K301" s="4193"/>
      <c r="L301" s="4193"/>
      <c r="M301" s="4193"/>
      <c r="N301" s="4193"/>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3169</v>
      </c>
      <c r="D302" s="4193"/>
      <c r="E302" s="4193"/>
      <c r="F302" s="4193"/>
      <c r="G302" s="4193"/>
      <c r="H302" s="4193"/>
      <c r="I302" s="4193"/>
      <c r="J302" s="4193"/>
      <c r="K302" s="4193"/>
      <c r="L302" s="4193"/>
      <c r="M302" s="4193"/>
      <c r="N302" s="4193"/>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6667</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19" t="s">
        <v>6121</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6122</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199"/>
      <c r="Q326" s="4200"/>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8" t="s">
        <v>1646</v>
      </c>
      <c r="O329" s="4269"/>
      <c r="P329" s="4270" t="s">
        <v>1646</v>
      </c>
      <c r="Q329" s="4271"/>
    </row>
    <row r="330" spans="1:256" ht="11.65" customHeight="1">
      <c r="A330" s="40" t="s">
        <v>1962</v>
      </c>
      <c r="B330" s="44" t="s">
        <v>6536</v>
      </c>
      <c r="O330" s="48" t="s">
        <v>1962</v>
      </c>
      <c r="P330" s="1400"/>
      <c r="Q330" s="1399"/>
    </row>
    <row r="331" spans="1:256" ht="11.65" customHeight="1">
      <c r="A331" s="110" t="s">
        <v>1612</v>
      </c>
      <c r="B331" s="44" t="s">
        <v>6537</v>
      </c>
      <c r="N331" s="128" t="s">
        <v>1612</v>
      </c>
      <c r="O331" s="4262" t="s">
        <v>2559</v>
      </c>
      <c r="P331" s="4263"/>
      <c r="Q331" s="4264"/>
    </row>
    <row r="332" spans="1:256" ht="11.65" customHeight="1">
      <c r="A332" s="110" t="s">
        <v>1613</v>
      </c>
      <c r="B332" s="67" t="s">
        <v>2170</v>
      </c>
      <c r="N332" s="128" t="s">
        <v>1613</v>
      </c>
      <c r="O332" s="4328" t="s">
        <v>2559</v>
      </c>
      <c r="P332" s="4329"/>
      <c r="Q332" s="4330"/>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3" t="s">
        <v>6685</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40</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6686</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40</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6687</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40</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3358</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3359</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3350</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3351</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3353</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3" t="s">
        <v>3355</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3356</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ht="13.15">
      <c r="A374" s="110" t="s">
        <v>698</v>
      </c>
      <c r="B374" s="44" t="s">
        <v>3201</v>
      </c>
      <c r="G374" s="889"/>
      <c r="H374" s="889"/>
      <c r="I374" s="889"/>
      <c r="J374" s="33" t="s">
        <v>3202</v>
      </c>
      <c r="L374" s="889"/>
      <c r="M374" s="4260">
        <f>'Part II-Sources of Funds'!I6</f>
        <v>0</v>
      </c>
      <c r="N374" s="4261"/>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3"/>
      <c r="Q391" s="4214"/>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3"/>
      <c r="Q395" s="4291"/>
    </row>
    <row r="396" spans="1:31" ht="12" customHeight="1">
      <c r="A396" s="40"/>
      <c r="D396" s="29" t="s">
        <v>6500</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6150</v>
      </c>
      <c r="D400" s="4193"/>
      <c r="E400" s="4193"/>
      <c r="F400" s="4193"/>
      <c r="G400" s="29" t="s">
        <v>3942</v>
      </c>
      <c r="J400" s="718"/>
      <c r="K400" s="426"/>
      <c r="M400" s="29" t="s">
        <v>6224</v>
      </c>
      <c r="P400" s="1760"/>
      <c r="Q400" s="1761"/>
    </row>
    <row r="401" spans="1:44" ht="12" customHeight="1">
      <c r="A401" s="40"/>
      <c r="C401" s="4193"/>
      <c r="D401" s="4193"/>
      <c r="E401" s="4193"/>
      <c r="F401" s="4193"/>
      <c r="G401" s="29" t="s">
        <v>6223</v>
      </c>
      <c r="J401" s="719"/>
      <c r="K401" s="427"/>
      <c r="M401" s="29" t="s">
        <v>6225</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6180</v>
      </c>
      <c r="J403" s="4201" t="s">
        <v>6181</v>
      </c>
      <c r="K403" s="4201" t="s">
        <v>6183</v>
      </c>
      <c r="L403" s="4201"/>
      <c r="M403" s="4201"/>
      <c r="N403" s="4240" t="s">
        <v>6182</v>
      </c>
      <c r="O403" s="48"/>
      <c r="P403" s="4364" t="s">
        <v>6697</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6294</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6295</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8" t="s">
        <v>6228</v>
      </c>
      <c r="E416" s="352" t="s">
        <v>2263</v>
      </c>
      <c r="F416" s="44" t="s">
        <v>3287</v>
      </c>
      <c r="G416" s="4194"/>
      <c r="H416" s="4195"/>
      <c r="I416" s="4195"/>
      <c r="J416" s="4195"/>
      <c r="K416" s="4196"/>
      <c r="L416" s="352"/>
    </row>
    <row r="417" spans="1:31" ht="12" customHeight="1">
      <c r="B417" s="115"/>
      <c r="D417" s="4198"/>
      <c r="E417" s="352" t="s">
        <v>3939</v>
      </c>
      <c r="F417" s="44" t="s">
        <v>3940</v>
      </c>
      <c r="G417" s="4251" t="s">
        <v>3204</v>
      </c>
      <c r="H417" s="4252"/>
      <c r="I417" s="4253"/>
      <c r="J417" s="44" t="s">
        <v>3801</v>
      </c>
      <c r="K417" s="115"/>
      <c r="M417" s="4194"/>
      <c r="N417" s="4195"/>
      <c r="O417" s="4195"/>
      <c r="P417" s="4195"/>
      <c r="Q417" s="4196"/>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4033</v>
      </c>
      <c r="C421" s="4193"/>
      <c r="D421" s="4193"/>
      <c r="E421" s="4193"/>
      <c r="F421" s="4193"/>
      <c r="G421" s="4193"/>
      <c r="H421" s="4193"/>
      <c r="I421" s="4193"/>
      <c r="J421" s="4193"/>
      <c r="K421" s="4193"/>
      <c r="L421" s="4193"/>
      <c r="M421" s="4193"/>
      <c r="N421" s="4193"/>
    </row>
    <row r="422" spans="1:31" s="115" customFormat="1" ht="45" customHeight="1">
      <c r="B422" s="4193" t="s">
        <v>6542</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3239</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199"/>
      <c r="Q428" s="4200"/>
    </row>
    <row r="429" spans="1:31" ht="14.1" customHeight="1">
      <c r="B429" s="66" t="s">
        <v>3896</v>
      </c>
      <c r="C429" s="4"/>
      <c r="D429" s="66"/>
      <c r="E429" s="887"/>
      <c r="F429" s="887"/>
      <c r="G429" s="887"/>
      <c r="H429" s="887"/>
    </row>
    <row r="430" spans="1:31" s="102" customFormat="1" ht="21.75" customHeight="1">
      <c r="A430" s="110" t="s">
        <v>1841</v>
      </c>
      <c r="B430" s="4193" t="s">
        <v>3311</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3310</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3866</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3868</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3869</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3312</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3917</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3918</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3951</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5">
      <c r="A456" s="44"/>
      <c r="B456" s="44"/>
      <c r="C456" s="807" t="s">
        <v>1646</v>
      </c>
      <c r="J456" s="1875" t="s">
        <v>1544</v>
      </c>
      <c r="N456" s="808"/>
      <c r="O456" s="1875" t="s">
        <v>4045</v>
      </c>
      <c r="P456" s="1876"/>
      <c r="R456" s="44"/>
    </row>
    <row r="457" spans="1:18" s="807" customFormat="1" ht="10.15">
      <c r="A457" s="44"/>
      <c r="B457" s="44"/>
      <c r="C457" s="1877" t="s">
        <v>1312</v>
      </c>
      <c r="J457" s="1875" t="s">
        <v>1953</v>
      </c>
      <c r="N457" s="808"/>
      <c r="O457" s="1875" t="s">
        <v>4046</v>
      </c>
      <c r="P457" s="1876"/>
      <c r="R457" s="44"/>
    </row>
    <row r="458" spans="1:18" s="807" customFormat="1" ht="10.15">
      <c r="A458" s="44"/>
      <c r="B458" s="44"/>
      <c r="C458" s="1877" t="s">
        <v>1313</v>
      </c>
      <c r="J458" s="1875" t="s">
        <v>1537</v>
      </c>
      <c r="N458" s="808"/>
      <c r="O458" s="1875" t="s">
        <v>4047</v>
      </c>
      <c r="P458" s="1876"/>
      <c r="R458" s="44"/>
    </row>
    <row r="459" spans="1:18" s="807" customFormat="1" ht="10.15">
      <c r="A459" s="44"/>
      <c r="B459" s="44"/>
      <c r="C459" s="1877" t="s">
        <v>1980</v>
      </c>
      <c r="J459" s="1875" t="s">
        <v>1120</v>
      </c>
      <c r="N459" s="808"/>
      <c r="O459" s="1875" t="s">
        <v>4051</v>
      </c>
      <c r="P459" s="1876"/>
      <c r="R459" s="44"/>
    </row>
    <row r="460" spans="1:18" s="807" customFormat="1" ht="10.15">
      <c r="A460" s="44"/>
      <c r="B460" s="44"/>
      <c r="C460" s="1877" t="s">
        <v>1309</v>
      </c>
      <c r="J460" s="1875" t="s">
        <v>549</v>
      </c>
      <c r="N460" s="808"/>
      <c r="O460" s="1875" t="s">
        <v>4048</v>
      </c>
      <c r="P460" s="1876"/>
      <c r="R460" s="44"/>
    </row>
    <row r="461" spans="1:18" s="807" customFormat="1" ht="10.15">
      <c r="A461" s="44"/>
      <c r="B461" s="44"/>
      <c r="C461" s="1877" t="s">
        <v>1310</v>
      </c>
      <c r="J461" s="1875" t="s">
        <v>1543</v>
      </c>
      <c r="N461" s="808"/>
      <c r="O461" s="1875" t="s">
        <v>4049</v>
      </c>
      <c r="P461" s="1876"/>
      <c r="R461" s="44"/>
    </row>
    <row r="462" spans="1:18" s="807" customFormat="1" ht="10.15">
      <c r="A462" s="44"/>
      <c r="B462" s="44"/>
      <c r="C462" s="1877" t="s">
        <v>1975</v>
      </c>
      <c r="J462" s="1875" t="s">
        <v>1117</v>
      </c>
      <c r="N462" s="808"/>
      <c r="O462" s="1875" t="s">
        <v>4050</v>
      </c>
      <c r="P462" s="1876"/>
      <c r="R462" s="44"/>
    </row>
    <row r="463" spans="1:18" s="807" customFormat="1" ht="10.15">
      <c r="A463" s="44"/>
      <c r="B463" s="44"/>
      <c r="C463" s="1877" t="s">
        <v>1976</v>
      </c>
      <c r="J463" s="1875" t="s">
        <v>1116</v>
      </c>
      <c r="N463" s="808"/>
      <c r="O463" s="807" t="s">
        <v>3277</v>
      </c>
      <c r="P463" s="1876"/>
      <c r="R463" s="44"/>
    </row>
    <row r="464" spans="1:18" s="807" customFormat="1" ht="10.15">
      <c r="A464" s="44"/>
      <c r="B464" s="44"/>
      <c r="C464" s="1877" t="s">
        <v>1977</v>
      </c>
      <c r="J464" s="1875" t="s">
        <v>1603</v>
      </c>
      <c r="N464" s="808"/>
      <c r="O464" s="807" t="s">
        <v>3278</v>
      </c>
      <c r="P464" s="1876"/>
      <c r="R464" s="44"/>
    </row>
    <row r="465" spans="1:22" s="807" customFormat="1" ht="10.15">
      <c r="A465" s="44"/>
      <c r="B465" s="44"/>
      <c r="C465" s="1877" t="s">
        <v>1978</v>
      </c>
      <c r="J465" s="1875" t="s">
        <v>1546</v>
      </c>
      <c r="N465" s="808"/>
      <c r="O465" s="1875"/>
      <c r="P465" s="1876"/>
      <c r="R465" s="44"/>
    </row>
    <row r="466" spans="1:22" s="807" customFormat="1" ht="10.15">
      <c r="A466" s="44"/>
      <c r="B466" s="44"/>
      <c r="C466" s="1877" t="s">
        <v>1979</v>
      </c>
      <c r="J466" s="1875" t="s">
        <v>1538</v>
      </c>
      <c r="N466" s="808"/>
      <c r="O466" s="1876"/>
      <c r="P466" s="1876"/>
      <c r="R466" s="44"/>
    </row>
    <row r="467" spans="1:22" s="807" customFormat="1" ht="10.15">
      <c r="A467" s="44"/>
      <c r="B467" s="44"/>
      <c r="C467" s="1877" t="s">
        <v>1311</v>
      </c>
      <c r="J467" s="1875" t="s">
        <v>1952</v>
      </c>
      <c r="N467" s="808"/>
      <c r="O467" s="1875"/>
      <c r="P467" s="1876"/>
      <c r="R467" s="44"/>
    </row>
    <row r="468" spans="1:22" s="807" customFormat="1" ht="10.15">
      <c r="A468" s="44"/>
      <c r="B468" s="44"/>
      <c r="C468" s="1877" t="s">
        <v>2108</v>
      </c>
      <c r="N468" s="808"/>
      <c r="O468" s="1876"/>
      <c r="P468" s="1876"/>
      <c r="R468" s="44"/>
    </row>
    <row r="469" spans="1:22" s="807" customFormat="1" ht="10.15">
      <c r="A469" s="44"/>
      <c r="B469" s="44"/>
      <c r="N469" s="808"/>
      <c r="O469" s="1876"/>
      <c r="P469" s="1876"/>
      <c r="R469" s="44"/>
    </row>
    <row r="470" spans="1:22" s="807" customFormat="1" ht="10.15">
      <c r="A470" s="44"/>
      <c r="B470" s="44"/>
      <c r="R470" s="44"/>
      <c r="S470" s="44"/>
      <c r="T470" s="44"/>
      <c r="U470" s="44"/>
      <c r="V470" s="44"/>
    </row>
    <row r="471" spans="1:22" s="807" customFormat="1" ht="10.15">
      <c r="A471" s="44"/>
      <c r="B471" s="44"/>
      <c r="C471" s="1878" t="s">
        <v>1664</v>
      </c>
      <c r="R471" s="44"/>
    </row>
    <row r="472" spans="1:22" s="807" customFormat="1" ht="10.15">
      <c r="A472" s="44"/>
      <c r="B472" s="44"/>
      <c r="C472" s="807" t="s">
        <v>869</v>
      </c>
      <c r="R472" s="44"/>
    </row>
    <row r="473" spans="1:22" s="807" customFormat="1" ht="10.15">
      <c r="A473" s="44"/>
      <c r="B473" s="44"/>
      <c r="C473" s="1877" t="s">
        <v>1522</v>
      </c>
      <c r="R473" s="44"/>
    </row>
    <row r="474" spans="1:22" s="807" customFormat="1" ht="10.15">
      <c r="A474" s="44"/>
      <c r="B474" s="44"/>
      <c r="C474" s="1877" t="s">
        <v>672</v>
      </c>
      <c r="L474" s="1877"/>
      <c r="R474" s="44"/>
    </row>
    <row r="475" spans="1:22" s="807" customFormat="1" ht="10.15">
      <c r="A475" s="44"/>
      <c r="B475" s="44"/>
      <c r="C475" s="1877" t="s">
        <v>673</v>
      </c>
      <c r="L475" s="1877"/>
      <c r="R475" s="44"/>
    </row>
    <row r="476" spans="1:22" s="807" customFormat="1" ht="10.15">
      <c r="A476" s="44"/>
      <c r="B476" s="44"/>
      <c r="C476" s="1877" t="s">
        <v>2001</v>
      </c>
      <c r="L476" s="1877"/>
      <c r="R476" s="44"/>
    </row>
    <row r="477" spans="1:22" s="807" customFormat="1" ht="10.15">
      <c r="A477" s="44"/>
      <c r="B477" s="44"/>
      <c r="C477" s="1877" t="s">
        <v>120</v>
      </c>
      <c r="L477" s="1877"/>
      <c r="R477" s="44"/>
    </row>
    <row r="478" spans="1:22" s="807" customFormat="1" ht="10.15">
      <c r="A478" s="44"/>
      <c r="B478" s="44"/>
      <c r="C478" s="807" t="s">
        <v>118</v>
      </c>
      <c r="L478" s="1877"/>
      <c r="R478" s="44"/>
    </row>
    <row r="479" spans="1:22" s="807" customFormat="1" ht="10.15">
      <c r="A479" s="44"/>
      <c r="B479" s="44"/>
      <c r="C479" s="807" t="s">
        <v>1741</v>
      </c>
      <c r="R479" s="44"/>
    </row>
    <row r="480" spans="1:22" s="807" customFormat="1" ht="10.15">
      <c r="A480" s="44"/>
      <c r="B480" s="44"/>
      <c r="C480" s="1877" t="s">
        <v>888</v>
      </c>
      <c r="L480" s="1877"/>
      <c r="R480" s="44"/>
    </row>
    <row r="481" spans="1:18" s="807" customFormat="1" ht="10.15">
      <c r="A481" s="44"/>
      <c r="B481" s="44"/>
      <c r="C481" s="807" t="s">
        <v>119</v>
      </c>
      <c r="L481" s="1877"/>
      <c r="R481" s="44"/>
    </row>
    <row r="482" spans="1:18" s="807" customFormat="1" ht="10.15">
      <c r="A482" s="44"/>
      <c r="B482" s="44"/>
      <c r="C482" s="807" t="s">
        <v>120</v>
      </c>
      <c r="L482" s="1877"/>
      <c r="R482" s="44"/>
    </row>
    <row r="483" spans="1:18" s="807" customFormat="1" ht="10.15">
      <c r="A483" s="44"/>
      <c r="B483" s="44"/>
      <c r="C483" s="807" t="s">
        <v>121</v>
      </c>
      <c r="L483" s="1877"/>
      <c r="R483" s="44"/>
    </row>
    <row r="484" spans="1:18" s="807" customFormat="1" ht="10.15">
      <c r="A484" s="44"/>
      <c r="B484" s="44"/>
      <c r="C484" s="807" t="s">
        <v>2439</v>
      </c>
      <c r="R484" s="44"/>
    </row>
    <row r="485" spans="1:18" s="807" customFormat="1" ht="10.15">
      <c r="A485" s="44"/>
      <c r="B485" s="44"/>
      <c r="C485" s="1877" t="s">
        <v>1865</v>
      </c>
      <c r="L485" s="1877"/>
      <c r="R485" s="44"/>
    </row>
    <row r="486" spans="1:18" s="807" customFormat="1" ht="10.15">
      <c r="A486" s="44"/>
      <c r="B486" s="44"/>
      <c r="C486" s="807" t="s">
        <v>2440</v>
      </c>
      <c r="L486" s="1877"/>
      <c r="R486" s="44"/>
    </row>
    <row r="487" spans="1:18" s="807" customFormat="1" ht="10.15">
      <c r="A487" s="44"/>
      <c r="B487" s="44"/>
      <c r="C487" s="807" t="s">
        <v>1304</v>
      </c>
      <c r="L487" s="1877"/>
      <c r="R487" s="44"/>
    </row>
    <row r="488" spans="1:18" s="807" customFormat="1" ht="10.15">
      <c r="A488" s="44"/>
      <c r="B488" s="44"/>
      <c r="C488" s="807" t="s">
        <v>1485</v>
      </c>
      <c r="K488" s="1878" t="s">
        <v>434</v>
      </c>
      <c r="L488" s="1877"/>
      <c r="R488" s="44"/>
    </row>
    <row r="489" spans="1:18" s="807" customFormat="1" ht="10.15">
      <c r="A489" s="44"/>
      <c r="B489" s="44"/>
      <c r="C489" s="807" t="s">
        <v>2441</v>
      </c>
      <c r="K489" s="807" t="s">
        <v>1018</v>
      </c>
      <c r="L489" s="1877"/>
      <c r="R489" s="44"/>
    </row>
    <row r="490" spans="1:18" s="807" customFormat="1" ht="10.15">
      <c r="A490" s="44"/>
      <c r="B490" s="44"/>
      <c r="C490" s="807" t="s">
        <v>2442</v>
      </c>
      <c r="K490" s="807" t="s">
        <v>3248</v>
      </c>
      <c r="R490" s="44"/>
    </row>
    <row r="491" spans="1:18" s="807" customFormat="1" ht="10.15">
      <c r="A491" s="44"/>
      <c r="B491" s="44"/>
      <c r="C491" s="1877" t="s">
        <v>1130</v>
      </c>
      <c r="K491" s="807" t="s">
        <v>6201</v>
      </c>
      <c r="R491" s="44"/>
    </row>
    <row r="492" spans="1:18" s="807" customFormat="1" ht="10.15">
      <c r="A492" s="44"/>
      <c r="B492" s="44"/>
      <c r="R492" s="44"/>
    </row>
    <row r="493" spans="1:18" s="807" customFormat="1" ht="10.15">
      <c r="A493" s="44"/>
      <c r="B493" s="44"/>
      <c r="C493" s="1878" t="s">
        <v>244</v>
      </c>
      <c r="K493" s="1878" t="s">
        <v>2072</v>
      </c>
      <c r="R493" s="44"/>
    </row>
    <row r="494" spans="1:18" s="807" customFormat="1" ht="10.15">
      <c r="A494" s="44"/>
      <c r="B494" s="44"/>
      <c r="C494" s="807" t="s">
        <v>1019</v>
      </c>
      <c r="K494" s="807" t="s">
        <v>2147</v>
      </c>
      <c r="R494" s="44"/>
    </row>
    <row r="495" spans="1:18" s="807" customFormat="1" ht="10.15">
      <c r="A495" s="44"/>
      <c r="B495" s="44"/>
      <c r="C495" s="807" t="s">
        <v>163</v>
      </c>
      <c r="K495" s="807" t="s">
        <v>6304</v>
      </c>
      <c r="R495" s="44"/>
    </row>
    <row r="496" spans="1:18" s="807" customFormat="1" ht="10.15">
      <c r="A496" s="44"/>
      <c r="B496" s="44"/>
      <c r="C496" s="807" t="s">
        <v>1429</v>
      </c>
      <c r="K496" s="807" t="s">
        <v>6303</v>
      </c>
      <c r="R496" s="44"/>
    </row>
    <row r="497" spans="1:18" s="807" customFormat="1" ht="10.15">
      <c r="A497" s="44"/>
      <c r="B497" s="44"/>
      <c r="C497" s="807" t="s">
        <v>1965</v>
      </c>
      <c r="K497" s="807" t="s">
        <v>6202</v>
      </c>
      <c r="R497" s="44"/>
    </row>
    <row r="498" spans="1:18" s="807" customFormat="1" ht="10.15">
      <c r="A498" s="44"/>
      <c r="B498" s="44"/>
      <c r="C498" s="807" t="s">
        <v>162</v>
      </c>
      <c r="K498" s="807" t="s">
        <v>6305</v>
      </c>
      <c r="R498" s="44"/>
    </row>
    <row r="499" spans="1:18" s="807" customFormat="1" ht="10.15">
      <c r="A499" s="44"/>
      <c r="B499" s="44"/>
      <c r="K499" s="1878" t="s">
        <v>1809</v>
      </c>
      <c r="R499" s="44"/>
    </row>
    <row r="500" spans="1:18" s="807" customFormat="1" ht="10.15">
      <c r="A500" s="44"/>
      <c r="B500" s="44"/>
      <c r="K500" s="807" t="s">
        <v>1017</v>
      </c>
      <c r="R500" s="44"/>
    </row>
    <row r="501" spans="1:18" s="807" customFormat="1" ht="10.15">
      <c r="A501" s="44"/>
      <c r="B501" s="44"/>
      <c r="K501" s="807" t="s">
        <v>1628</v>
      </c>
      <c r="R501" s="44"/>
    </row>
    <row r="502" spans="1:18" s="807" customFormat="1" ht="10.15">
      <c r="A502" s="44"/>
      <c r="B502" s="44"/>
      <c r="K502" s="807" t="s">
        <v>1067</v>
      </c>
      <c r="R502" s="44"/>
    </row>
    <row r="503" spans="1:18" s="807" customFormat="1" ht="10.15">
      <c r="A503" s="44"/>
      <c r="B503" s="44"/>
      <c r="K503" s="807" t="s">
        <v>1629</v>
      </c>
      <c r="R503" s="44"/>
    </row>
    <row r="504" spans="1:18" s="807" customFormat="1" ht="10.15">
      <c r="A504" s="44"/>
      <c r="B504" s="44"/>
      <c r="K504" s="807" t="s">
        <v>2185</v>
      </c>
      <c r="R504" s="44"/>
    </row>
    <row r="505" spans="1:18" s="807" customFormat="1" ht="10.15">
      <c r="A505" s="44"/>
      <c r="B505" s="44"/>
      <c r="R505" s="44"/>
    </row>
    <row r="506" spans="1:18" s="807" customFormat="1" ht="10.15">
      <c r="A506" s="44"/>
      <c r="B506" s="44"/>
      <c r="C506" s="1878" t="s">
        <v>951</v>
      </c>
      <c r="M506" s="1878" t="s">
        <v>3851</v>
      </c>
      <c r="R506" s="44"/>
    </row>
    <row r="507" spans="1:18" s="807" customFormat="1" ht="10.15">
      <c r="A507" s="44"/>
      <c r="B507" s="44"/>
      <c r="C507" s="807" t="s">
        <v>950</v>
      </c>
      <c r="M507" s="807" t="s">
        <v>950</v>
      </c>
      <c r="R507" s="44"/>
    </row>
    <row r="508" spans="1:18" s="807" customFormat="1" ht="10.15">
      <c r="A508" s="44"/>
      <c r="B508" s="44"/>
      <c r="C508" s="807" t="s">
        <v>1938</v>
      </c>
      <c r="M508" s="807" t="s">
        <v>3848</v>
      </c>
      <c r="R508" s="44"/>
    </row>
    <row r="509" spans="1:18" s="807" customFormat="1" ht="10.15">
      <c r="A509" s="44"/>
      <c r="B509" s="44"/>
      <c r="C509" s="807" t="s">
        <v>2341</v>
      </c>
      <c r="M509" s="807" t="s">
        <v>3879</v>
      </c>
      <c r="R509" s="44"/>
    </row>
    <row r="510" spans="1:18" s="807" customFormat="1" ht="10.15">
      <c r="A510" s="44"/>
      <c r="B510" s="44"/>
      <c r="C510" s="807" t="s">
        <v>1939</v>
      </c>
      <c r="M510" s="807" t="s">
        <v>1540</v>
      </c>
      <c r="R510" s="44"/>
    </row>
    <row r="511" spans="1:18" s="807" customFormat="1" ht="10.15">
      <c r="A511" s="44"/>
      <c r="B511" s="44"/>
      <c r="C511" s="807" t="s">
        <v>1810</v>
      </c>
      <c r="M511" s="807" t="s">
        <v>3849</v>
      </c>
      <c r="R511" s="44"/>
    </row>
    <row r="512" spans="1:18" s="807" customFormat="1" ht="10.15">
      <c r="A512" s="44"/>
      <c r="B512" s="44"/>
      <c r="C512" s="807" t="s">
        <v>548</v>
      </c>
      <c r="M512" s="807" t="s">
        <v>3898</v>
      </c>
      <c r="R512" s="44"/>
    </row>
    <row r="513" spans="1:18" s="807" customFormat="1" ht="10.15">
      <c r="A513" s="44"/>
      <c r="B513" s="44"/>
      <c r="C513" s="807" t="s">
        <v>2035</v>
      </c>
      <c r="M513" s="807" t="s">
        <v>3899</v>
      </c>
      <c r="R513" s="44"/>
    </row>
    <row r="514" spans="1:18" s="807" customFormat="1" ht="10.15">
      <c r="A514" s="44"/>
      <c r="B514" s="44"/>
      <c r="C514" s="807" t="s">
        <v>30</v>
      </c>
      <c r="M514" s="807" t="s">
        <v>3850</v>
      </c>
      <c r="R514" s="44"/>
    </row>
    <row r="515" spans="1:18" s="807" customFormat="1" ht="10.15">
      <c r="A515" s="44"/>
      <c r="B515" s="44"/>
      <c r="M515" s="807" t="s">
        <v>1952</v>
      </c>
      <c r="R515" s="44"/>
    </row>
    <row r="516" spans="1:18" s="807" customFormat="1" ht="10.15">
      <c r="A516" s="44"/>
      <c r="B516" s="44"/>
      <c r="R516" s="44"/>
    </row>
    <row r="517" spans="1:18" s="807" customFormat="1" ht="10.15">
      <c r="A517" s="44"/>
      <c r="B517" s="44"/>
      <c r="R517" s="44"/>
    </row>
    <row r="518" spans="1:18" s="807" customFormat="1" ht="10.15">
      <c r="A518" s="44"/>
      <c r="B518" s="44"/>
      <c r="M518" s="1879" t="s">
        <v>3260</v>
      </c>
      <c r="R518" s="44"/>
    </row>
    <row r="519" spans="1:18" s="807" customFormat="1" ht="10.15">
      <c r="A519" s="44"/>
      <c r="B519" s="44"/>
      <c r="M519" s="807" t="s">
        <v>3336</v>
      </c>
      <c r="R519" s="44"/>
    </row>
    <row r="520" spans="1:18" s="807" customFormat="1" ht="10.15">
      <c r="A520" s="44"/>
      <c r="B520" s="44"/>
      <c r="M520" s="807" t="s">
        <v>3331</v>
      </c>
      <c r="R520" s="44"/>
    </row>
    <row r="521" spans="1:18" s="807" customFormat="1" ht="10.15">
      <c r="A521" s="44"/>
      <c r="B521" s="44"/>
      <c r="M521" s="807" t="s">
        <v>3253</v>
      </c>
      <c r="R521" s="44"/>
    </row>
    <row r="522" spans="1:18" s="807" customFormat="1" ht="10.15">
      <c r="A522" s="44"/>
      <c r="B522" s="44"/>
      <c r="M522" s="807" t="s">
        <v>3327</v>
      </c>
      <c r="R522" s="44"/>
    </row>
    <row r="523" spans="1:18" s="807" customFormat="1" ht="10.1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6523</v>
      </c>
      <c r="B2" s="4397"/>
      <c r="C2" s="147"/>
      <c r="D2" s="795">
        <v>2021</v>
      </c>
      <c r="E2" s="144"/>
      <c r="F2" s="4391" t="s">
        <v>2999</v>
      </c>
      <c r="G2" s="4392"/>
      <c r="H2" s="4392"/>
      <c r="I2" s="4392"/>
      <c r="J2" s="4393"/>
      <c r="K2" s="234"/>
      <c r="L2" s="443" t="s">
        <v>3141</v>
      </c>
      <c r="M2" s="234"/>
      <c r="N2" s="4391" t="s">
        <v>2999</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1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3164</v>
      </c>
      <c r="L45" s="4423"/>
      <c r="M45" s="4423"/>
      <c r="N45" s="4424"/>
    </row>
    <row r="46" spans="1:295" s="28" customFormat="1" ht="11.25" customHeight="1">
      <c r="A46" s="4407"/>
      <c r="B46" s="4407"/>
      <c r="C46" s="4407"/>
      <c r="D46" s="4407"/>
      <c r="E46" s="4407"/>
      <c r="F46" s="1245"/>
      <c r="G46" s="4425" t="s">
        <v>333</v>
      </c>
      <c r="H46" s="4426"/>
      <c r="I46" s="66"/>
      <c r="J46" s="35"/>
      <c r="K46" s="4400" t="s">
        <v>3165</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3935</v>
      </c>
      <c r="Q47" s="4405"/>
    </row>
    <row r="48" spans="1:295" s="62" customFormat="1" ht="10.5" customHeight="1">
      <c r="D48" s="491" t="s">
        <v>2464</v>
      </c>
      <c r="E48" s="28"/>
      <c r="F48" s="492" t="s">
        <v>3067</v>
      </c>
      <c r="G48" s="4395" t="s">
        <v>3892</v>
      </c>
      <c r="H48" s="4395"/>
      <c r="I48" s="4395"/>
      <c r="J48" s="28"/>
      <c r="K48" s="492" t="s">
        <v>3067</v>
      </c>
      <c r="L48" s="4395" t="s">
        <v>3891</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12" t="str">
        <f>IF('Part I-Project Identification'!$F$26="","",VLOOKUP('Part I-Project Identification'!$J$26,'DCA Underwriting Assumptions'!$G$141:$N$300,8,FALSE))</f>
        <v>Albany</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364" t="s">
        <v>3936</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03">
        <f>'Part III-A-Uses of Funds'!$G$146</f>
        <v>11432050</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3927</v>
      </c>
      <c r="Q54" s="4364"/>
      <c r="R54" s="4394" t="s">
        <v>6299</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11072084</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16"/>
      <c r="Q58" s="4417"/>
      <c r="R58" s="328"/>
      <c r="S58" s="4377" t="s">
        <v>3930</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398" t="s">
        <v>3160</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units = </v>
      </c>
      <c r="I64" s="1244" t="str">
        <f>IF(F64="","",F64*G64)</f>
        <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398" t="s">
        <v>3161</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units = </v>
      </c>
      <c r="I65" s="1244" t="str">
        <f>IF(F65="","",F65*G65)</f>
        <v/>
      </c>
      <c r="J65" s="35"/>
      <c r="K65" s="1243" t="str">
        <f>IF('Part V-Revenues &amp; Expenses'!$M$152 =0,"",'Part V-Revenues &amp; Expenses'!$M$152)</f>
        <v/>
      </c>
      <c r="L65" s="661">
        <f>G65*(1+'DCA Underwriting Assumptions'!$Q$12)</f>
        <v>241647.89</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20</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20 units = </v>
      </c>
      <c r="I71" s="1244">
        <f>IF(F71="","",F71*G71)</f>
        <v>3584918</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8194095</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20</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20 units = </v>
      </c>
      <c r="I72" s="1244">
        <f>IF(F72="","",F72*G72)</f>
        <v>4609177</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386" t="s">
        <v>3448</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40</v>
      </c>
      <c r="G75" s="493"/>
      <c r="H75" s="871"/>
      <c r="I75" s="874">
        <f>SUM(I70:I74)</f>
        <v>8194095</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396">
        <f>I54+I61+I68+I75</f>
        <v>8194095</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5625" defaultRowHeight="13.15"/>
  <cols>
    <col min="1" max="1" width="6" customWidth="1"/>
    <col min="2" max="2" width="3.3984375" customWidth="1"/>
    <col min="3" max="3" width="10.59765625" customWidth="1"/>
    <col min="4" max="4" width="10.265625" customWidth="1"/>
    <col min="5" max="5" width="6.265625" customWidth="1"/>
    <col min="6" max="6" width="9.265625" customWidth="1"/>
    <col min="7" max="9" width="11.59765625" customWidth="1"/>
    <col min="10" max="10" width="9.265625" customWidth="1"/>
    <col min="11" max="11" width="11.73046875" customWidth="1"/>
    <col min="12" max="12" width="14.73046875" customWidth="1"/>
    <col min="13" max="13" width="6.73046875" customWidth="1"/>
    <col min="14" max="14" width="2.73046875" style="56" customWidth="1"/>
    <col min="15" max="16" width="6.73046875" style="24" customWidth="1"/>
    <col min="17" max="17" width="6" customWidth="1"/>
    <col min="18" max="21" width="9.26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Dogwood Trail Apartments II, Albany, Dougherty County</v>
      </c>
      <c r="B1" s="3324"/>
      <c r="C1" s="3324"/>
      <c r="D1" s="3324"/>
      <c r="E1" s="3324"/>
      <c r="F1" s="3324"/>
      <c r="G1" s="3324"/>
      <c r="H1" s="3324"/>
      <c r="I1" s="3324"/>
      <c r="J1" s="3324"/>
      <c r="K1" s="3324"/>
      <c r="L1" s="3324"/>
      <c r="M1" s="3324"/>
      <c r="N1" s="3324"/>
      <c r="O1" s="3324"/>
      <c r="P1" s="3325"/>
      <c r="Q1" s="4428" t="s">
        <v>6644</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6658</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1" t="s">
        <v>6495</v>
      </c>
      <c r="G12" s="4571"/>
      <c r="H12" s="4571"/>
      <c r="I12" s="4571"/>
      <c r="J12" s="4571"/>
      <c r="K12" s="4571"/>
      <c r="L12" s="4571"/>
      <c r="M12" s="4571"/>
      <c r="N12" s="4571"/>
      <c r="O12" s="1201" t="s">
        <v>3809</v>
      </c>
      <c r="P12" s="1202">
        <f>SUM(P13:P31)</f>
        <v>0</v>
      </c>
      <c r="Q12" s="4427" t="s">
        <v>6544</v>
      </c>
      <c r="R12" s="4427"/>
      <c r="S12" s="4427"/>
      <c r="T12" s="4427"/>
      <c r="U12" s="4427"/>
      <c r="V12" s="1179"/>
    </row>
    <row r="13" spans="1:25" s="35" customFormat="1" ht="10.5" customHeight="1">
      <c r="A13" s="924" t="s">
        <v>1668</v>
      </c>
      <c r="B13" s="921" t="s">
        <v>3393</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4037</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3338</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3394</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3395</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4038</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4040</v>
      </c>
      <c r="B19" s="751" t="s">
        <v>3261</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4052</v>
      </c>
      <c r="B20" s="751" t="s">
        <v>4041</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6242</v>
      </c>
      <c r="B21" s="931" t="s">
        <v>4042</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6636</v>
      </c>
      <c r="B22" s="751" t="s">
        <v>6548</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6638</v>
      </c>
      <c r="B23" s="751" t="s">
        <v>6637</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3368</v>
      </c>
      <c r="B24" s="1887" t="s">
        <v>6554</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3372</v>
      </c>
      <c r="B25" s="751" t="s">
        <v>3396</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3375</v>
      </c>
      <c r="B26" s="751" t="s">
        <v>3397</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3376</v>
      </c>
      <c r="B27" s="751" t="s">
        <v>3398</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3802</v>
      </c>
      <c r="B30" s="751" t="s">
        <v>6552</v>
      </c>
      <c r="C30" s="866"/>
      <c r="D30" s="925"/>
      <c r="E30" s="1196">
        <f>$O$428</f>
        <v>0</v>
      </c>
      <c r="F30" s="4447">
        <f>$A$430</f>
        <v>0</v>
      </c>
      <c r="G30" s="4448"/>
      <c r="H30" s="4448"/>
      <c r="I30" s="4448"/>
      <c r="J30" s="4448"/>
      <c r="K30" s="4448"/>
      <c r="L30" s="4448"/>
      <c r="M30" s="4448"/>
      <c r="N30" s="4448"/>
      <c r="O30" s="4449"/>
      <c r="P30" s="1209"/>
      <c r="Q30" s="1964"/>
      <c r="R30" s="1628"/>
      <c r="S30" s="1628"/>
      <c r="AA30" s="3591" t="s">
        <v>6562</v>
      </c>
      <c r="AB30" s="3591"/>
      <c r="AC30" s="3591"/>
      <c r="AD30" s="3591"/>
      <c r="AE30" s="3591"/>
      <c r="AF30" s="3591"/>
    </row>
    <row r="31" spans="1:35" s="35" customFormat="1" ht="10.5" customHeight="1">
      <c r="A31" s="926" t="s">
        <v>6555</v>
      </c>
      <c r="B31" s="927" t="s">
        <v>6553</v>
      </c>
      <c r="C31" s="928"/>
      <c r="D31" s="929"/>
      <c r="E31" s="1624">
        <f>$O$434</f>
        <v>0</v>
      </c>
      <c r="F31" s="4462">
        <f>$A$438</f>
        <v>0</v>
      </c>
      <c r="G31" s="4463"/>
      <c r="H31" s="4463"/>
      <c r="I31" s="4463"/>
      <c r="J31" s="4463"/>
      <c r="K31" s="4463"/>
      <c r="L31" s="4463"/>
      <c r="M31" s="4463"/>
      <c r="N31" s="4463"/>
      <c r="O31" s="4464"/>
      <c r="P31" s="1210"/>
      <c r="Q31" s="1964"/>
      <c r="R31" s="1628"/>
      <c r="S31" s="1628"/>
      <c r="X31" s="3591" t="s">
        <v>6563</v>
      </c>
      <c r="Y31" s="3591"/>
      <c r="Z31" s="3591"/>
      <c r="AA31" s="3591"/>
      <c r="AB31" s="3591"/>
      <c r="AC31" s="3591"/>
      <c r="AD31" s="3591" t="s">
        <v>6564</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4" t="s">
        <v>6124</v>
      </c>
      <c r="H33" s="4514"/>
      <c r="I33" s="4508" t="s">
        <v>6505</v>
      </c>
      <c r="J33" s="4509"/>
      <c r="K33" s="4509"/>
      <c r="L33" s="4510"/>
      <c r="M33" s="4575" t="s">
        <v>6137</v>
      </c>
      <c r="N33" s="4575"/>
      <c r="O33" s="4575"/>
      <c r="P33" s="4575"/>
      <c r="Q33" s="436"/>
      <c r="R33" s="436"/>
      <c r="S33" s="83" t="s">
        <v>6136</v>
      </c>
      <c r="T33" s="436"/>
      <c r="U33" s="436"/>
      <c r="V33" s="436"/>
      <c r="X33" s="4494" t="s">
        <v>6124</v>
      </c>
      <c r="Y33" s="4496"/>
      <c r="Z33" s="4494" t="s">
        <v>6505</v>
      </c>
      <c r="AA33" s="4495"/>
      <c r="AB33" s="4495"/>
      <c r="AC33" s="4496"/>
      <c r="AD33" s="4503" t="s">
        <v>6124</v>
      </c>
      <c r="AE33" s="4504"/>
      <c r="AF33" s="4505" t="s">
        <v>6505</v>
      </c>
      <c r="AG33" s="4503"/>
      <c r="AH33" s="4503"/>
      <c r="AI33" s="4504"/>
    </row>
    <row r="34" spans="1:46" s="115" customFormat="1" ht="11.25" customHeight="1">
      <c r="A34" s="44"/>
      <c r="B34" s="29"/>
      <c r="C34" s="44"/>
      <c r="D34" s="44"/>
      <c r="E34" s="44"/>
      <c r="F34" s="44"/>
      <c r="G34" s="1723">
        <v>0.09</v>
      </c>
      <c r="H34" s="1723">
        <v>0.04</v>
      </c>
      <c r="I34" s="1723">
        <v>0.04</v>
      </c>
      <c r="J34" s="1723" t="s">
        <v>6545</v>
      </c>
      <c r="K34" s="1723" t="s">
        <v>6546</v>
      </c>
      <c r="L34" s="1723" t="s">
        <v>6547</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6" t="s">
        <v>6561</v>
      </c>
      <c r="N40" s="4577"/>
      <c r="O40" s="4577"/>
      <c r="P40" s="4577"/>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6"/>
      <c r="N41" s="4577"/>
      <c r="O41" s="4577"/>
      <c r="P41" s="4577"/>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40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0" t="s">
        <v>6736</v>
      </c>
      <c r="N52" s="4711"/>
      <c r="O52" s="4711"/>
      <c r="P52" s="4711"/>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0"/>
      <c r="N53" s="4711"/>
      <c r="O53" s="4711"/>
      <c r="P53" s="4711"/>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2"/>
      <c r="N54" s="4713"/>
      <c r="O54" s="4713"/>
      <c r="P54" s="4713"/>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8" t="s">
        <v>6711</v>
      </c>
      <c r="N55" s="4579"/>
      <c r="O55" s="4579"/>
      <c r="P55" s="4580"/>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1"/>
      <c r="N56" s="4582"/>
      <c r="O56" s="4582"/>
      <c r="P56" s="4583"/>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6" t="s">
        <v>6139</v>
      </c>
      <c r="N58" s="4577"/>
      <c r="O58" s="4577"/>
      <c r="P58" s="4577"/>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8"/>
      <c r="N59" s="4709"/>
      <c r="O59" s="4709"/>
      <c r="P59" s="4709"/>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39" t="s">
        <v>6712</v>
      </c>
      <c r="N60" s="4440"/>
      <c r="O60" s="4440"/>
      <c r="P60" s="4441"/>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2"/>
      <c r="N61" s="4443"/>
      <c r="O61" s="4443"/>
      <c r="P61" s="4444"/>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1" t="s">
        <v>3894</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5" t="s">
        <v>6072</v>
      </c>
      <c r="B74" s="4405"/>
      <c r="C74" s="4405"/>
      <c r="D74" s="4405"/>
      <c r="E74" s="4405"/>
      <c r="F74" s="1176" t="s">
        <v>3390</v>
      </c>
      <c r="G74" s="4563" t="s">
        <v>6074</v>
      </c>
      <c r="H74" s="4563"/>
      <c r="I74" s="4563"/>
      <c r="J74" s="1176" t="s">
        <v>3390</v>
      </c>
      <c r="K74" s="4567" t="s">
        <v>6073</v>
      </c>
      <c r="L74" s="4567"/>
      <c r="M74" s="4567"/>
      <c r="N74" s="4567"/>
      <c r="O74" s="4561" t="s">
        <v>3390</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3808</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3144</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3145</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3146</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3147</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5" t="s">
        <v>3811</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58</v>
      </c>
      <c r="L94" s="4654"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4"/>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5" t="s">
        <v>3815</v>
      </c>
      <c r="I97" s="4456"/>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2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5" t="s">
        <v>4043</v>
      </c>
      <c r="J106" s="4476"/>
      <c r="K106" s="4476"/>
      <c r="L106" s="4477"/>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8"/>
      <c r="J107" s="4479"/>
      <c r="K107" s="4479"/>
      <c r="L107" s="4480"/>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7" t="s">
        <v>3215</v>
      </c>
      <c r="G123" s="4537"/>
      <c r="H123" s="4537"/>
      <c r="I123" s="4537"/>
      <c r="J123" s="4537" t="s">
        <v>3216</v>
      </c>
      <c r="K123" s="4537"/>
      <c r="L123" s="4537"/>
      <c r="M123" s="4537"/>
      <c r="N123" s="48"/>
      <c r="O123" s="4538" t="s">
        <v>3884</v>
      </c>
      <c r="P123" s="4539"/>
      <c r="Q123" s="86"/>
      <c r="R123" s="879"/>
      <c r="S123" s="879"/>
      <c r="T123" s="879"/>
      <c r="U123" s="879"/>
    </row>
    <row r="124" spans="1:21" s="36" customFormat="1" ht="12" customHeight="1">
      <c r="B124" s="1839"/>
      <c r="C124" s="1182" t="s">
        <v>6570</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6146</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6679</v>
      </c>
      <c r="B126" s="4668"/>
      <c r="C126" s="1182" t="s">
        <v>6569</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3365</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6" t="s">
        <v>6677</v>
      </c>
      <c r="D133" s="4536"/>
      <c r="E133" s="4536"/>
      <c r="F133" s="4536"/>
      <c r="G133" s="4536"/>
      <c r="H133" s="4536"/>
      <c r="I133" s="4536"/>
      <c r="J133" s="4536"/>
      <c r="K133" s="4536"/>
      <c r="L133" s="4536"/>
      <c r="M133" s="1848">
        <v>6</v>
      </c>
      <c r="N133" s="374" t="s">
        <v>1844</v>
      </c>
      <c r="O133" s="1910"/>
      <c r="P133" s="1911"/>
      <c r="Q133" s="1212"/>
      <c r="R133" s="795" t="s">
        <v>4058</v>
      </c>
    </row>
    <row r="134" spans="1:21" s="332" customFormat="1" ht="12" customHeight="1">
      <c r="A134" s="456" t="s">
        <v>1275</v>
      </c>
      <c r="B134" s="350" t="s">
        <v>1846</v>
      </c>
      <c r="C134" s="3576" t="s">
        <v>6678</v>
      </c>
      <c r="D134" s="3576"/>
      <c r="E134" s="3576"/>
      <c r="F134" s="3576"/>
      <c r="G134" s="866"/>
      <c r="J134" s="4540" t="s">
        <v>6674</v>
      </c>
      <c r="K134" s="4541"/>
      <c r="L134" s="4542"/>
      <c r="M134" s="458">
        <v>5</v>
      </c>
      <c r="N134" s="348" t="s">
        <v>1846</v>
      </c>
      <c r="O134" s="1923"/>
      <c r="P134" s="1924"/>
      <c r="Q134" s="1810" t="s">
        <v>6670</v>
      </c>
      <c r="R134" s="1176" t="s">
        <v>6263</v>
      </c>
      <c r="S134" s="1176" t="s">
        <v>6144</v>
      </c>
    </row>
    <row r="135" spans="1:21" s="332" customFormat="1" ht="12" customHeight="1">
      <c r="B135" s="350"/>
      <c r="C135" s="3576"/>
      <c r="D135" s="3576"/>
      <c r="E135" s="3576"/>
      <c r="F135" s="3576"/>
      <c r="G135" s="866"/>
      <c r="H135" s="3368" t="s">
        <v>6672</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3238</v>
      </c>
      <c r="C138" s="503"/>
      <c r="D138" s="503"/>
      <c r="F138" s="1902" t="s">
        <v>6669</v>
      </c>
      <c r="J138" s="4465" t="s">
        <v>3235</v>
      </c>
      <c r="K138" s="4466"/>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6" t="s">
        <v>6684</v>
      </c>
      <c r="D139" s="3576"/>
      <c r="E139" s="3576"/>
      <c r="F139" s="3576"/>
      <c r="G139" s="866"/>
      <c r="H139" s="3368" t="s">
        <v>6673</v>
      </c>
      <c r="I139" s="3368"/>
      <c r="J139" s="4467" t="s">
        <v>6689</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6565</v>
      </c>
      <c r="K140" s="4691"/>
      <c r="L140" s="4692"/>
      <c r="M140" s="70"/>
      <c r="O140" s="4704"/>
      <c r="P140" s="4707"/>
      <c r="Q140" s="86"/>
      <c r="R140" s="1550">
        <v>1</v>
      </c>
      <c r="S140" s="1550">
        <v>1</v>
      </c>
      <c r="U140" s="332"/>
    </row>
    <row r="141" spans="1:21" s="36" customFormat="1" ht="11.25" customHeight="1">
      <c r="A141" s="456" t="s">
        <v>1275</v>
      </c>
      <c r="B141" s="1632" t="s">
        <v>1846</v>
      </c>
      <c r="C141" s="3576" t="s">
        <v>6676</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6675</v>
      </c>
      <c r="D143" s="3576"/>
      <c r="E143" s="3576"/>
      <c r="F143" s="3576"/>
      <c r="G143" s="3576"/>
      <c r="H143" s="3576"/>
      <c r="I143" s="4702"/>
      <c r="J143" s="4690" t="s">
        <v>6566</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7" t="s">
        <v>6889</v>
      </c>
      <c r="K154" s="4688"/>
      <c r="L154" s="4688"/>
      <c r="M154" s="4689"/>
      <c r="N154"/>
      <c r="O154"/>
      <c r="P154"/>
    </row>
    <row r="155" spans="1:19" ht="12.75" customHeight="1">
      <c r="B155" s="430"/>
      <c r="C155" s="430"/>
      <c r="D155" s="430"/>
      <c r="F155" s="4201" t="s">
        <v>6627</v>
      </c>
      <c r="G155" s="4201"/>
      <c r="H155" s="4201" t="s">
        <v>6269</v>
      </c>
      <c r="I155" s="4201"/>
      <c r="J155" s="4675" t="s">
        <v>6628</v>
      </c>
      <c r="K155" s="4676"/>
      <c r="L155" s="4678" t="s">
        <v>6888</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6629</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3" t="s">
        <v>6680</v>
      </c>
      <c r="D173" s="4193"/>
      <c r="E173" s="4193"/>
      <c r="F173" s="4193"/>
      <c r="G173" s="4193"/>
      <c r="H173" s="4193"/>
      <c r="I173" s="4193"/>
      <c r="J173" s="4193"/>
      <c r="K173" s="4193"/>
      <c r="L173" s="128"/>
      <c r="M173" s="4659" t="s">
        <v>6090</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3286</v>
      </c>
      <c r="N174" s="4652"/>
      <c r="O174" s="4652"/>
      <c r="P174" s="4653"/>
      <c r="S174" s="1628"/>
      <c r="T174" s="1628"/>
      <c r="U174" s="1628"/>
    </row>
    <row r="175" spans="1:26" s="26" customFormat="1" ht="12.75" customHeight="1">
      <c r="B175" s="49" t="s">
        <v>2241</v>
      </c>
      <c r="C175" s="29" t="s">
        <v>3956</v>
      </c>
      <c r="D175" s="29"/>
      <c r="E175" s="29"/>
      <c r="F175" s="29"/>
      <c r="G175" s="29"/>
      <c r="H175" s="29"/>
      <c r="L175" s="49" t="s">
        <v>2241</v>
      </c>
      <c r="M175" s="4467" t="s">
        <v>3286</v>
      </c>
      <c r="N175" s="4468"/>
      <c r="O175" s="4468"/>
      <c r="P175" s="4469"/>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7" t="s">
        <v>3286</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6" t="s">
        <v>3286</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2.75">
      <c r="A180" s="396"/>
      <c r="B180" s="128" t="s">
        <v>2240</v>
      </c>
      <c r="C180" s="4193" t="s">
        <v>6178</v>
      </c>
      <c r="D180" s="4193"/>
      <c r="E180" s="4193"/>
      <c r="F180" s="4193"/>
      <c r="G180" s="4193"/>
      <c r="H180" s="4193"/>
      <c r="I180" s="4193"/>
      <c r="J180" s="4193"/>
      <c r="K180" s="4193"/>
      <c r="L180" s="4193"/>
      <c r="M180" s="1848">
        <v>1</v>
      </c>
      <c r="N180" s="128" t="s">
        <v>4076</v>
      </c>
      <c r="O180" s="1636"/>
      <c r="P180" s="1640"/>
      <c r="Q180" s="1212" t="str">
        <f>IF(OR($O180=$M180,$O180=0,$O180=""),"","*CHECK!*")</f>
        <v/>
      </c>
      <c r="R180" s="795" t="s">
        <v>4058</v>
      </c>
    </row>
    <row r="181" spans="1:26" ht="36.75" customHeight="1">
      <c r="A181" s="396"/>
      <c r="B181" s="117" t="s">
        <v>2241</v>
      </c>
      <c r="C181" s="4193" t="s">
        <v>6179</v>
      </c>
      <c r="D181" s="4193"/>
      <c r="E181" s="4193"/>
      <c r="F181" s="4193"/>
      <c r="G181" s="4193"/>
      <c r="H181" s="4193"/>
      <c r="I181" s="4193"/>
      <c r="J181" s="4193"/>
      <c r="K181" s="4193"/>
      <c r="L181" s="4193"/>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3" t="s">
        <v>6207</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6211</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3" t="s">
        <v>6212</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6253</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0" t="s">
        <v>3204</v>
      </c>
      <c r="K208" s="4631"/>
      <c r="L208" s="4632"/>
      <c r="M208" s="4633"/>
      <c r="N208" s="53"/>
      <c r="R208" s="86"/>
      <c r="S208" s="70"/>
    </row>
    <row r="209" spans="1:27" ht="12.75" customHeight="1">
      <c r="C209" s="685" t="s">
        <v>6255</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ht="12.75">
      <c r="C212" s="1638" t="s">
        <v>6219</v>
      </c>
      <c r="E212" s="4435" t="s">
        <v>6218</v>
      </c>
      <c r="F212" s="4435"/>
      <c r="G212" s="4435"/>
      <c r="H212" s="4435"/>
      <c r="I212" s="1203" t="s">
        <v>6245</v>
      </c>
      <c r="J212" s="4435" t="s">
        <v>6218</v>
      </c>
      <c r="K212" s="4435"/>
      <c r="L212" s="4435"/>
      <c r="M212" s="4435"/>
      <c r="N212"/>
      <c r="O212"/>
      <c r="P212"/>
    </row>
    <row r="213" spans="1:27" ht="13.5" customHeight="1">
      <c r="B213" s="400"/>
      <c r="C213" s="29" t="s">
        <v>6216</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6217</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6214</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6215</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5" t="str">
        <f>'Part V-Revenues &amp; Expenses'!$O$53</f>
        <v>Income Averaging</v>
      </c>
      <c r="L226" s="4596"/>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9"/>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0"/>
      <c r="J244" s="4460"/>
      <c r="L244" s="1662" t="s">
        <v>6259</v>
      </c>
      <c r="M244" s="4461"/>
      <c r="N244" s="4461"/>
    </row>
    <row r="245" spans="1:27" s="32" customFormat="1" ht="11.25" customHeight="1">
      <c r="A245" s="306"/>
      <c r="B245" s="350" t="s">
        <v>1846</v>
      </c>
      <c r="C245" s="29" t="s">
        <v>6258</v>
      </c>
      <c r="E245" s="33" t="s">
        <v>3309</v>
      </c>
      <c r="G245" s="1644"/>
      <c r="H245" s="48" t="s">
        <v>574</v>
      </c>
      <c r="I245" s="4590"/>
      <c r="J245" s="4590"/>
      <c r="L245" s="1662" t="s">
        <v>6259</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6615</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6616</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6230</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6691</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6693</v>
      </c>
      <c r="G289" s="147"/>
      <c r="I289" s="4645" t="s">
        <v>6694</v>
      </c>
      <c r="J289" s="4646"/>
      <c r="K289" s="4647"/>
      <c r="L289" s="4648"/>
      <c r="M289" s="456"/>
      <c r="O289" s="4649" t="s">
        <v>3149</v>
      </c>
      <c r="P289" s="4649" t="s">
        <v>3150</v>
      </c>
      <c r="Q289" s="86"/>
      <c r="R289" s="1630"/>
      <c r="S289" s="1630"/>
      <c r="T289" s="1630"/>
      <c r="U289" s="1630"/>
      <c r="V289" s="1630"/>
      <c r="W289" s="36"/>
      <c r="X289" s="36"/>
    </row>
    <row r="290" spans="1:24" s="36" customFormat="1" ht="11.25" customHeight="1">
      <c r="A290" s="120"/>
      <c r="B290" s="29" t="s">
        <v>6581</v>
      </c>
      <c r="D290" s="34"/>
      <c r="H290" s="141"/>
      <c r="M290" s="119"/>
      <c r="N290" s="48"/>
      <c r="O290" s="4650"/>
      <c r="P290" s="4650"/>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6587</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6588</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6590</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6591</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6594</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3274</v>
      </c>
      <c r="L345" s="4588"/>
      <c r="M345" s="4588"/>
      <c r="N345" s="49" t="s">
        <v>2241</v>
      </c>
      <c r="O345" s="299"/>
      <c r="P345" s="420"/>
      <c r="R345" s="4584"/>
      <c r="S345" s="4584"/>
    </row>
    <row r="346" spans="1:20" s="79" customFormat="1" ht="12.75" customHeight="1">
      <c r="B346" s="49" t="s">
        <v>2242</v>
      </c>
      <c r="C346" s="29" t="s">
        <v>3273</v>
      </c>
      <c r="L346" s="4588"/>
      <c r="M346" s="4588"/>
      <c r="N346" s="49" t="s">
        <v>2242</v>
      </c>
      <c r="O346" s="299"/>
      <c r="P346" s="420"/>
      <c r="R346" s="4584"/>
      <c r="S346" s="4584"/>
    </row>
    <row r="347" spans="1:20" s="79" customFormat="1" ht="33.75" customHeight="1">
      <c r="B347" s="117" t="s">
        <v>2243</v>
      </c>
      <c r="C347" s="4193" t="s">
        <v>6596</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6598</v>
      </c>
      <c r="C352" s="29" t="s">
        <v>1388</v>
      </c>
      <c r="I352" s="49" t="s">
        <v>2240</v>
      </c>
      <c r="J352" s="4523"/>
      <c r="K352" s="4524"/>
      <c r="L352" s="49" t="s">
        <v>2240</v>
      </c>
      <c r="M352" s="4627"/>
      <c r="N352" s="4628"/>
      <c r="O352" s="4628"/>
      <c r="P352" s="4629"/>
      <c r="R352" s="307"/>
    </row>
    <row r="353" spans="1:18" ht="12.75" customHeight="1">
      <c r="A353" s="152"/>
      <c r="B353" s="117" t="s">
        <v>2241</v>
      </c>
      <c r="C353" s="29" t="s">
        <v>3155</v>
      </c>
      <c r="I353" s="117" t="s">
        <v>2241</v>
      </c>
      <c r="J353" s="4528"/>
      <c r="K353" s="4529"/>
      <c r="L353" s="117" t="s">
        <v>2241</v>
      </c>
      <c r="M353" s="4530"/>
      <c r="N353" s="4531"/>
      <c r="O353" s="4531"/>
      <c r="P353" s="4532"/>
      <c r="R353" s="307"/>
    </row>
    <row r="354" spans="1:18" ht="12.75" customHeight="1">
      <c r="B354" s="49" t="s">
        <v>2242</v>
      </c>
      <c r="C354" s="29" t="s">
        <v>3953</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6232</v>
      </c>
      <c r="I358" s="49" t="s">
        <v>2261</v>
      </c>
      <c r="J358" s="4528"/>
      <c r="K358" s="4529"/>
      <c r="L358" s="49" t="s">
        <v>2261</v>
      </c>
      <c r="M358" s="1601"/>
      <c r="N358" s="1602"/>
      <c r="O358" s="1602"/>
      <c r="P358" s="1603"/>
      <c r="R358" s="307"/>
    </row>
    <row r="359" spans="1:18" ht="12.75" customHeight="1">
      <c r="A359" s="152"/>
      <c r="B359" s="48" t="s">
        <v>2262</v>
      </c>
      <c r="C359" s="29" t="s">
        <v>3154</v>
      </c>
      <c r="I359" s="48" t="s">
        <v>2262</v>
      </c>
      <c r="J359" s="4528"/>
      <c r="K359" s="4529"/>
      <c r="L359" s="48" t="s">
        <v>2262</v>
      </c>
      <c r="M359" s="4530"/>
      <c r="N359" s="4531"/>
      <c r="O359" s="4531"/>
      <c r="P359" s="4532"/>
      <c r="R359" s="307"/>
    </row>
    <row r="360" spans="1:18" ht="12.75" customHeight="1">
      <c r="B360" s="48" t="s">
        <v>2263</v>
      </c>
      <c r="C360" s="29" t="s">
        <v>6599</v>
      </c>
      <c r="I360" s="48" t="s">
        <v>2263</v>
      </c>
      <c r="J360" s="4528"/>
      <c r="K360" s="4529"/>
      <c r="L360" s="48" t="s">
        <v>2263</v>
      </c>
      <c r="M360" s="4530"/>
      <c r="N360" s="4531"/>
      <c r="O360" s="4531"/>
      <c r="P360" s="4532"/>
      <c r="R360" s="307"/>
    </row>
    <row r="361" spans="1:18" ht="12.75" customHeight="1">
      <c r="B361" s="48" t="s">
        <v>3156</v>
      </c>
      <c r="C361" s="29" t="s">
        <v>3825</v>
      </c>
      <c r="I361" s="48" t="s">
        <v>3156</v>
      </c>
      <c r="J361" s="4528"/>
      <c r="K361" s="4529"/>
      <c r="L361" s="48" t="s">
        <v>3156</v>
      </c>
      <c r="M361" s="4530"/>
      <c r="N361" s="4531"/>
      <c r="O361" s="4531"/>
      <c r="P361" s="4532"/>
      <c r="R361" s="307"/>
    </row>
    <row r="362" spans="1:18" ht="12.75" customHeight="1" thickBot="1">
      <c r="B362" s="48" t="s">
        <v>6233</v>
      </c>
      <c r="C362" s="29" t="s">
        <v>6234</v>
      </c>
      <c r="I362" s="48" t="s">
        <v>6233</v>
      </c>
      <c r="J362" s="4528"/>
      <c r="K362" s="4529"/>
      <c r="L362" s="48" t="s">
        <v>6233</v>
      </c>
      <c r="M362" s="4618"/>
      <c r="N362" s="4619"/>
      <c r="O362" s="4619"/>
      <c r="P362" s="4620"/>
      <c r="R362" s="307"/>
    </row>
    <row r="363" spans="1:18" ht="12.75" customHeight="1" thickBot="1">
      <c r="B363" s="919" t="s">
        <v>6600</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7">
        <f>'Part V-Revenues &amp; Expenses'!$P$67</f>
        <v>40</v>
      </c>
      <c r="K365" s="4638"/>
      <c r="L365" s="430"/>
      <c r="M365" s="393"/>
      <c r="N365" s="393"/>
      <c r="O365" s="881"/>
      <c r="P365" s="393"/>
    </row>
    <row r="366" spans="1:18" ht="13.5" customHeight="1">
      <c r="C366" s="230"/>
      <c r="D366" s="230"/>
      <c r="E366" s="230"/>
      <c r="F366" s="349" t="s">
        <v>6236</v>
      </c>
      <c r="J366" s="4635">
        <f>IF(J365=0,0,J363/J365)</f>
        <v>0</v>
      </c>
      <c r="K366" s="4636"/>
      <c r="M366" s="4525">
        <f>IF($J365=0,0,$M363/$J365)</f>
        <v>0</v>
      </c>
      <c r="N366" s="4526"/>
      <c r="O366" s="4526"/>
      <c r="P366" s="4527"/>
    </row>
    <row r="367" spans="1:18" s="36" customFormat="1" ht="12.75" customHeight="1">
      <c r="C367" s="230"/>
      <c r="D367" s="230"/>
      <c r="E367" s="230"/>
      <c r="F367" s="44" t="s">
        <v>6237</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3" t="s">
        <v>6601</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5" t="s">
        <v>6602</v>
      </c>
      <c r="C383" s="4215"/>
      <c r="D383" s="4215"/>
      <c r="E383" s="4215"/>
      <c r="F383" s="4215"/>
      <c r="G383" s="4215"/>
      <c r="H383" s="4215"/>
      <c r="I383" s="4215"/>
      <c r="J383" s="4215"/>
      <c r="K383" s="4215"/>
      <c r="L383" s="4215"/>
      <c r="M383" s="4617" t="s">
        <v>3886</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40</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0</v>
      </c>
      <c r="P386" s="4616"/>
      <c r="Q386" s="147"/>
    </row>
    <row r="387" spans="1:19" s="36" customFormat="1" ht="105.75" customHeight="1">
      <c r="A387" s="411"/>
      <c r="B387" s="4244" t="s">
        <v>3414</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40</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6744</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4.6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6698</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ht="12.75">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ht="12.75">
      <c r="C448" s="68" t="s">
        <v>1940</v>
      </c>
      <c r="D448" s="68"/>
      <c r="E448" s="68"/>
      <c r="F448" s="68"/>
      <c r="G448" s="68"/>
      <c r="H448" s="68"/>
      <c r="I448" s="68"/>
      <c r="J448" s="380" t="s">
        <v>1538</v>
      </c>
      <c r="K448" s="68"/>
      <c r="L448" s="68"/>
      <c r="M448" s="68"/>
      <c r="N448" s="882"/>
      <c r="O448" s="2407"/>
      <c r="P448" s="2407"/>
      <c r="Q448" s="68"/>
    </row>
    <row r="449" spans="3:17" s="115" customFormat="1" ht="12.75">
      <c r="C449" s="68" t="s">
        <v>1941</v>
      </c>
      <c r="D449" s="68"/>
      <c r="E449" s="68"/>
      <c r="F449" s="68"/>
      <c r="G449" s="68"/>
      <c r="H449" s="68"/>
      <c r="I449" s="68"/>
      <c r="J449" s="380" t="s">
        <v>2306</v>
      </c>
      <c r="K449" s="68"/>
      <c r="L449" s="68"/>
      <c r="M449" s="68"/>
      <c r="N449" s="882"/>
      <c r="O449" s="2407"/>
      <c r="P449" s="2407"/>
      <c r="Q449" s="68"/>
    </row>
    <row r="450" spans="3:17" s="115" customFormat="1" ht="12.75">
      <c r="C450" s="68" t="s">
        <v>1942</v>
      </c>
      <c r="D450" s="68"/>
      <c r="E450" s="68"/>
      <c r="F450" s="68"/>
      <c r="G450" s="68"/>
      <c r="H450" s="68"/>
      <c r="I450" s="68"/>
      <c r="J450" s="380" t="s">
        <v>1539</v>
      </c>
      <c r="K450" s="68"/>
      <c r="L450" s="68"/>
      <c r="M450" s="68"/>
      <c r="N450" s="882"/>
      <c r="O450" s="2407"/>
      <c r="P450" s="2407"/>
      <c r="Q450" s="68"/>
    </row>
    <row r="451" spans="3:17" s="115" customFormat="1" ht="12.75">
      <c r="C451" s="68"/>
      <c r="D451" s="68"/>
      <c r="E451" s="68"/>
      <c r="F451" s="68"/>
      <c r="G451" s="68"/>
      <c r="H451" s="68"/>
      <c r="I451" s="68"/>
      <c r="J451" s="380" t="s">
        <v>1540</v>
      </c>
      <c r="K451" s="68"/>
      <c r="L451" s="68"/>
      <c r="M451" s="68"/>
      <c r="N451" s="882"/>
      <c r="O451" s="2407"/>
      <c r="P451" s="2407"/>
      <c r="Q451" s="68"/>
    </row>
    <row r="452" spans="3:17" s="115" customFormat="1" ht="12.75">
      <c r="C452" s="68" t="s">
        <v>1646</v>
      </c>
      <c r="D452" s="68"/>
      <c r="E452" s="68"/>
      <c r="F452" s="68"/>
      <c r="G452" s="68"/>
      <c r="H452" s="68"/>
      <c r="I452" s="68"/>
      <c r="J452" s="380" t="s">
        <v>1541</v>
      </c>
      <c r="K452" s="68"/>
      <c r="L452" s="68"/>
      <c r="M452" s="68"/>
      <c r="N452" s="882"/>
      <c r="O452" s="2407"/>
      <c r="P452" s="2407"/>
      <c r="Q452" s="68"/>
    </row>
    <row r="453" spans="3:17" s="115" customFormat="1" ht="12.75">
      <c r="C453" s="1406" t="s">
        <v>1312</v>
      </c>
      <c r="D453" s="68"/>
      <c r="E453" s="68"/>
      <c r="F453" s="68"/>
      <c r="G453" s="68"/>
      <c r="H453" s="68"/>
      <c r="I453" s="68"/>
      <c r="J453" s="380" t="s">
        <v>1542</v>
      </c>
      <c r="K453" s="68"/>
      <c r="L453" s="68"/>
      <c r="M453" s="68"/>
      <c r="N453" s="882"/>
      <c r="O453" s="2407"/>
      <c r="P453" s="2407"/>
      <c r="Q453" s="68"/>
    </row>
    <row r="454" spans="3:17" s="115" customFormat="1" ht="12.75">
      <c r="C454" s="1406" t="s">
        <v>1313</v>
      </c>
      <c r="D454" s="68"/>
      <c r="E454" s="68"/>
      <c r="F454" s="68"/>
      <c r="G454" s="68"/>
      <c r="H454" s="68"/>
      <c r="I454" s="68"/>
      <c r="J454" s="380" t="s">
        <v>1543</v>
      </c>
      <c r="K454" s="68"/>
      <c r="L454" s="68"/>
      <c r="M454" s="68"/>
      <c r="N454" s="882"/>
      <c r="O454" s="2407"/>
      <c r="P454" s="2407"/>
      <c r="Q454" s="68"/>
    </row>
    <row r="455" spans="3:17" s="115" customFormat="1" ht="12.75">
      <c r="C455" s="1406" t="s">
        <v>1980</v>
      </c>
      <c r="D455" s="68"/>
      <c r="E455" s="68"/>
      <c r="F455" s="68"/>
      <c r="G455" s="68"/>
      <c r="H455" s="68"/>
      <c r="I455" s="68"/>
      <c r="J455" s="380" t="s">
        <v>1544</v>
      </c>
      <c r="K455" s="68"/>
      <c r="L455" s="68"/>
      <c r="M455" s="68"/>
      <c r="N455" s="882"/>
      <c r="O455" s="2407"/>
      <c r="P455" s="2407"/>
      <c r="Q455" s="68"/>
    </row>
    <row r="456" spans="3:17" s="115" customFormat="1" ht="12.75">
      <c r="C456" s="1406" t="s">
        <v>1309</v>
      </c>
      <c r="D456" s="68"/>
      <c r="E456" s="68"/>
      <c r="F456" s="68"/>
      <c r="G456" s="68"/>
      <c r="H456" s="68"/>
      <c r="I456" s="68"/>
      <c r="J456" s="380" t="s">
        <v>549</v>
      </c>
      <c r="K456" s="68"/>
      <c r="L456" s="68"/>
      <c r="M456" s="68"/>
      <c r="N456" s="882"/>
      <c r="O456" s="2407"/>
      <c r="P456" s="2407"/>
      <c r="Q456" s="68"/>
    </row>
    <row r="457" spans="3:17" s="115" customFormat="1" ht="12.75">
      <c r="C457" s="1406" t="s">
        <v>1310</v>
      </c>
      <c r="D457" s="68"/>
      <c r="E457" s="68"/>
      <c r="F457" s="68"/>
      <c r="G457" s="68"/>
      <c r="H457" s="68"/>
      <c r="I457" s="68"/>
      <c r="J457" s="380" t="s">
        <v>1545</v>
      </c>
      <c r="K457" s="68"/>
      <c r="L457" s="68"/>
      <c r="M457" s="68"/>
      <c r="N457" s="882"/>
      <c r="O457" s="2407"/>
      <c r="P457" s="2407"/>
      <c r="Q457" s="68"/>
    </row>
    <row r="458" spans="3:17" s="115" customFormat="1" ht="12.75">
      <c r="C458" s="1406" t="s">
        <v>1975</v>
      </c>
      <c r="D458" s="68"/>
      <c r="E458" s="68"/>
      <c r="F458" s="68"/>
      <c r="G458" s="68"/>
      <c r="H458" s="68"/>
      <c r="I458" s="68"/>
      <c r="J458" s="380" t="s">
        <v>1546</v>
      </c>
      <c r="K458" s="68"/>
      <c r="L458" s="68"/>
      <c r="M458" s="68"/>
      <c r="N458" s="882"/>
      <c r="O458" s="2407"/>
      <c r="P458" s="2407"/>
      <c r="Q458" s="68"/>
    </row>
    <row r="459" spans="3:17" s="115" customFormat="1" ht="12.75">
      <c r="C459" s="1406" t="s">
        <v>1976</v>
      </c>
      <c r="D459" s="68"/>
      <c r="E459" s="68"/>
      <c r="F459" s="68"/>
      <c r="G459" s="68"/>
      <c r="H459" s="68"/>
      <c r="I459" s="68"/>
      <c r="J459" s="380" t="s">
        <v>1547</v>
      </c>
      <c r="K459" s="68"/>
      <c r="L459" s="68"/>
      <c r="M459" s="68"/>
      <c r="N459" s="882"/>
      <c r="O459" s="2407"/>
      <c r="P459" s="2407"/>
      <c r="Q459" s="68"/>
    </row>
    <row r="460" spans="3:17" s="115" customFormat="1" ht="12.75">
      <c r="C460" s="1406" t="s">
        <v>1977</v>
      </c>
      <c r="D460" s="68"/>
      <c r="E460" s="68"/>
      <c r="F460" s="68"/>
      <c r="G460" s="68"/>
      <c r="H460" s="68"/>
      <c r="I460" s="68"/>
      <c r="J460" s="380" t="s">
        <v>32</v>
      </c>
      <c r="K460" s="68"/>
      <c r="L460" s="68"/>
      <c r="M460" s="68"/>
      <c r="N460" s="882"/>
      <c r="O460" s="2407"/>
      <c r="P460" s="2407"/>
      <c r="Q460" s="68"/>
    </row>
    <row r="461" spans="3:17" s="115" customFormat="1" ht="12.75">
      <c r="C461" s="1406" t="s">
        <v>1978</v>
      </c>
      <c r="D461" s="68"/>
      <c r="E461" s="68"/>
      <c r="F461" s="68"/>
      <c r="G461" s="68"/>
      <c r="H461" s="68"/>
      <c r="I461" s="68"/>
      <c r="J461" s="68"/>
      <c r="K461" s="68"/>
      <c r="L461" s="68"/>
      <c r="M461" s="68"/>
      <c r="N461" s="882"/>
      <c r="O461" s="2407"/>
      <c r="P461" s="2407"/>
      <c r="Q461" s="68"/>
    </row>
    <row r="462" spans="3:17" s="115" customFormat="1" ht="12.75">
      <c r="C462" s="1406" t="s">
        <v>1979</v>
      </c>
      <c r="D462" s="68"/>
      <c r="E462" s="68"/>
      <c r="F462" s="68"/>
      <c r="G462" s="68"/>
      <c r="H462" s="68"/>
      <c r="I462" s="68"/>
      <c r="J462" s="2408" t="s">
        <v>3037</v>
      </c>
      <c r="K462" s="68"/>
      <c r="L462" s="68"/>
      <c r="M462" s="68"/>
      <c r="N462" s="882"/>
      <c r="O462" s="2408" t="s">
        <v>3251</v>
      </c>
      <c r="P462" s="2407"/>
      <c r="Q462" s="68"/>
    </row>
    <row r="463" spans="3:17" s="115" customFormat="1" ht="12.75">
      <c r="C463" s="1406" t="s">
        <v>1311</v>
      </c>
      <c r="D463" s="68"/>
      <c r="E463" s="68"/>
      <c r="F463" s="68"/>
      <c r="G463" s="68"/>
      <c r="H463" s="68"/>
      <c r="I463" s="68"/>
      <c r="J463" s="380" t="s">
        <v>3038</v>
      </c>
      <c r="K463" s="68"/>
      <c r="L463" s="68"/>
      <c r="M463" s="68"/>
      <c r="N463" s="882"/>
      <c r="O463" s="2407"/>
      <c r="P463" s="2407"/>
      <c r="Q463" s="68"/>
    </row>
    <row r="464" spans="3:17" s="115" customFormat="1" ht="12.75">
      <c r="C464" s="1406" t="s">
        <v>2108</v>
      </c>
      <c r="D464" s="68"/>
      <c r="E464" s="68"/>
      <c r="F464" s="68"/>
      <c r="G464" s="68"/>
      <c r="H464" s="68"/>
      <c r="I464" s="68"/>
      <c r="J464" s="68" t="s">
        <v>3022</v>
      </c>
      <c r="K464" s="68"/>
      <c r="L464" s="68"/>
      <c r="M464" s="68"/>
      <c r="N464" s="882"/>
      <c r="O464" s="2407">
        <v>2</v>
      </c>
      <c r="P464" s="2407"/>
      <c r="Q464" s="68"/>
    </row>
    <row r="465" spans="1:17" s="115" customFormat="1" ht="12.75">
      <c r="C465" s="68"/>
      <c r="D465" s="68"/>
      <c r="E465" s="68"/>
      <c r="F465" s="68"/>
      <c r="G465" s="68"/>
      <c r="H465" s="68"/>
      <c r="I465" s="68"/>
      <c r="J465" s="68" t="s">
        <v>3023</v>
      </c>
      <c r="K465" s="68"/>
      <c r="L465" s="68"/>
      <c r="M465" s="68"/>
      <c r="N465" s="882"/>
      <c r="O465" s="2407">
        <v>2</v>
      </c>
      <c r="P465" s="2407"/>
      <c r="Q465" s="68"/>
    </row>
    <row r="466" spans="1:17" s="115" customFormat="1" ht="12.75">
      <c r="C466" s="68"/>
      <c r="D466" s="68"/>
      <c r="E466" s="68"/>
      <c r="F466" s="68"/>
      <c r="G466" s="4518" t="s">
        <v>1407</v>
      </c>
      <c r="H466" s="4518"/>
      <c r="I466" s="4518"/>
      <c r="J466" s="68" t="s">
        <v>3024</v>
      </c>
      <c r="K466" s="68"/>
      <c r="L466" s="68"/>
      <c r="M466" s="68"/>
      <c r="N466" s="882"/>
      <c r="O466" s="2407">
        <v>2</v>
      </c>
      <c r="P466" s="2407"/>
      <c r="Q466" s="68"/>
    </row>
    <row r="467" spans="1:17" s="115" customFormat="1" ht="12.75">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ht="12.75">
      <c r="C468" s="503"/>
      <c r="D468" s="68"/>
      <c r="E468" s="68"/>
      <c r="F468" s="68"/>
      <c r="G468" s="1508" t="s">
        <v>2320</v>
      </c>
      <c r="H468" s="68"/>
      <c r="I468" s="1508"/>
      <c r="J468" s="68" t="s">
        <v>3249</v>
      </c>
      <c r="K468" s="68"/>
      <c r="L468" s="1508"/>
      <c r="M468" s="68"/>
      <c r="N468" s="882"/>
      <c r="O468" s="2407">
        <v>2</v>
      </c>
      <c r="P468" s="2407"/>
      <c r="Q468" s="68"/>
    </row>
    <row r="469" spans="1:17" s="115" customFormat="1" ht="12.75">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ht="12.75">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ht="12.75">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ht="12.75">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ht="12.75">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ht="12.75">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ht="12.75">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ht="12.75">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ht="12.75">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ht="12.75">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ht="12.75">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ht="12.75">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ht="12.75">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ht="12.75">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ht="12.75">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ht="12.75">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ht="12.75">
      <c r="C485" s="503"/>
      <c r="D485" s="68"/>
      <c r="E485" s="68"/>
      <c r="F485" s="68"/>
      <c r="G485" s="1508" t="s">
        <v>921</v>
      </c>
      <c r="H485" s="882">
        <v>2020</v>
      </c>
      <c r="I485" s="882" t="s">
        <v>4065</v>
      </c>
      <c r="J485" s="68" t="s">
        <v>3331</v>
      </c>
      <c r="K485" s="68"/>
      <c r="L485" s="503"/>
      <c r="M485" s="68"/>
      <c r="N485" s="882"/>
      <c r="O485" s="2407"/>
      <c r="P485" s="2407"/>
      <c r="Q485" s="68"/>
    </row>
    <row r="486" spans="1:17" s="115" customFormat="1" ht="12.75">
      <c r="C486" s="503"/>
      <c r="D486" s="68"/>
      <c r="E486" s="68"/>
      <c r="F486" s="68"/>
      <c r="G486" s="1508" t="s">
        <v>532</v>
      </c>
      <c r="H486" s="882">
        <v>2020</v>
      </c>
      <c r="I486" s="882" t="s">
        <v>4065</v>
      </c>
      <c r="J486" s="68" t="s">
        <v>3253</v>
      </c>
      <c r="K486" s="68"/>
      <c r="L486" s="503"/>
      <c r="M486" s="68"/>
      <c r="N486" s="882"/>
      <c r="O486" s="2407"/>
      <c r="P486" s="2407"/>
      <c r="Q486" s="68"/>
    </row>
    <row r="487" spans="1:17" s="115" customFormat="1" ht="12.75">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ht="12.75">
      <c r="C488" s="503"/>
      <c r="D488" s="68"/>
      <c r="E488" s="68"/>
      <c r="F488" s="68"/>
      <c r="G488" s="1508" t="s">
        <v>3019</v>
      </c>
      <c r="H488" s="882">
        <v>2019</v>
      </c>
      <c r="I488" s="882" t="s">
        <v>4065</v>
      </c>
      <c r="J488" s="68" t="s">
        <v>3254</v>
      </c>
      <c r="K488" s="68"/>
      <c r="L488" s="503"/>
      <c r="M488" s="68"/>
      <c r="N488" s="882"/>
      <c r="O488" s="2407"/>
      <c r="P488" s="2407"/>
      <c r="Q488" s="68"/>
    </row>
    <row r="489" spans="1:17" s="115" customFormat="1" ht="12.75">
      <c r="C489" s="68"/>
      <c r="D489" s="68"/>
      <c r="E489" s="68"/>
      <c r="F489" s="68"/>
      <c r="G489" s="1508" t="s">
        <v>764</v>
      </c>
      <c r="H489" s="882">
        <v>2019</v>
      </c>
      <c r="I489" s="882" t="s">
        <v>4065</v>
      </c>
      <c r="J489" s="68" t="s">
        <v>3328</v>
      </c>
      <c r="K489" s="68"/>
      <c r="L489" s="503"/>
      <c r="M489" s="68"/>
      <c r="N489" s="882"/>
      <c r="O489" s="2407"/>
      <c r="P489" s="2407"/>
      <c r="Q489" s="68"/>
    </row>
    <row r="490" spans="1:17" s="115" customFormat="1" ht="12.75">
      <c r="C490" s="68"/>
      <c r="D490" s="68"/>
      <c r="E490" s="68"/>
      <c r="F490" s="68"/>
      <c r="G490" s="1508" t="s">
        <v>172</v>
      </c>
      <c r="H490" s="882">
        <v>2019</v>
      </c>
      <c r="I490" s="882" t="s">
        <v>4065</v>
      </c>
      <c r="J490" s="68" t="s">
        <v>3255</v>
      </c>
      <c r="K490" s="68"/>
      <c r="L490" s="68"/>
      <c r="M490" s="68"/>
      <c r="N490" s="882"/>
      <c r="O490" s="2407"/>
      <c r="P490" s="2407"/>
      <c r="Q490" s="68"/>
    </row>
    <row r="491" spans="1:17" s="115" customFormat="1" ht="12.75">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ht="12.75">
      <c r="C492" s="68"/>
      <c r="D492" s="68"/>
      <c r="E492" s="68"/>
      <c r="F492" s="68"/>
      <c r="G492" s="1508" t="s">
        <v>507</v>
      </c>
      <c r="H492" s="882">
        <v>2020</v>
      </c>
      <c r="I492" s="882" t="s">
        <v>4065</v>
      </c>
      <c r="J492" s="68" t="s">
        <v>3332</v>
      </c>
      <c r="K492" s="68"/>
      <c r="L492" s="503"/>
      <c r="M492" s="68"/>
      <c r="N492" s="882"/>
      <c r="O492" s="2407"/>
      <c r="P492" s="2407"/>
      <c r="Q492" s="68"/>
    </row>
    <row r="493" spans="1:17" s="115" customFormat="1" ht="12.75">
      <c r="C493" s="68"/>
      <c r="D493" s="68"/>
      <c r="E493" s="68"/>
      <c r="F493" s="68"/>
      <c r="G493" s="1508" t="s">
        <v>376</v>
      </c>
      <c r="H493" s="882">
        <v>2020</v>
      </c>
      <c r="I493" s="882" t="s">
        <v>4065</v>
      </c>
      <c r="J493" s="68" t="s">
        <v>3335</v>
      </c>
      <c r="K493" s="68"/>
      <c r="L493" s="68"/>
      <c r="M493" s="68"/>
      <c r="N493" s="882"/>
      <c r="O493" s="2407"/>
      <c r="P493" s="2407"/>
      <c r="Q493" s="68"/>
    </row>
    <row r="494" spans="1:17" s="115" customFormat="1" ht="12.75">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ht="12.75">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ht="12.75">
      <c r="C496" s="68"/>
      <c r="D496" s="68"/>
      <c r="E496" s="68"/>
      <c r="F496" s="68"/>
      <c r="G496" s="1508" t="s">
        <v>1969</v>
      </c>
      <c r="H496" s="882">
        <v>2020</v>
      </c>
      <c r="I496" s="882" t="s">
        <v>4065</v>
      </c>
      <c r="J496" s="68" t="s">
        <v>3330</v>
      </c>
      <c r="K496" s="68"/>
      <c r="L496" s="503"/>
      <c r="M496" s="68"/>
      <c r="N496" s="882"/>
      <c r="O496" s="2407"/>
      <c r="P496" s="2407"/>
      <c r="Q496" s="68"/>
    </row>
    <row r="497" spans="3:17" s="115" customFormat="1" ht="12.75">
      <c r="C497" s="68"/>
      <c r="D497" s="68"/>
      <c r="E497" s="68"/>
      <c r="F497" s="68"/>
      <c r="G497" s="1508" t="s">
        <v>1352</v>
      </c>
      <c r="H497" s="882">
        <v>2019</v>
      </c>
      <c r="I497" s="882" t="s">
        <v>4065</v>
      </c>
      <c r="J497" s="68" t="s">
        <v>3333</v>
      </c>
      <c r="K497" s="68"/>
      <c r="L497" s="68"/>
      <c r="M497" s="68"/>
      <c r="N497" s="882"/>
      <c r="O497" s="2407"/>
      <c r="P497" s="2407"/>
      <c r="Q497" s="68"/>
    </row>
    <row r="498" spans="3:17" s="115" customFormat="1" ht="12.75">
      <c r="C498" s="68"/>
      <c r="D498" s="68"/>
      <c r="E498" s="68"/>
      <c r="F498" s="68"/>
      <c r="G498" s="1508" t="s">
        <v>235</v>
      </c>
      <c r="H498" s="882">
        <v>2019</v>
      </c>
      <c r="I498" s="882" t="s">
        <v>4065</v>
      </c>
      <c r="J498" s="68" t="s">
        <v>3334</v>
      </c>
      <c r="K498" s="68"/>
      <c r="L498" s="503"/>
      <c r="M498" s="68"/>
      <c r="N498" s="882"/>
      <c r="O498" s="2407"/>
      <c r="P498" s="2407"/>
      <c r="Q498" s="68"/>
    </row>
    <row r="499" spans="3:17" s="115" customFormat="1" ht="12.75">
      <c r="C499" s="68"/>
      <c r="D499" s="68"/>
      <c r="E499" s="68"/>
      <c r="F499" s="68"/>
      <c r="G499" s="1508" t="s">
        <v>978</v>
      </c>
      <c r="H499" s="882">
        <v>2020</v>
      </c>
      <c r="I499" s="882" t="s">
        <v>4065</v>
      </c>
      <c r="J499" s="68" t="s">
        <v>3258</v>
      </c>
      <c r="K499" s="68"/>
      <c r="L499" s="503"/>
      <c r="M499" s="68"/>
      <c r="N499" s="882"/>
      <c r="O499" s="2407"/>
      <c r="P499" s="2407"/>
      <c r="Q499" s="68"/>
    </row>
    <row r="500" spans="3:17" s="115" customFormat="1" ht="12.75">
      <c r="C500" s="697"/>
      <c r="D500" s="68"/>
      <c r="E500" s="68"/>
      <c r="F500" s="68"/>
      <c r="G500" s="1508" t="s">
        <v>2096</v>
      </c>
      <c r="H500" s="882">
        <v>2020</v>
      </c>
      <c r="I500" s="882" t="s">
        <v>4065</v>
      </c>
      <c r="J500" s="68" t="s">
        <v>3259</v>
      </c>
      <c r="K500" s="68"/>
      <c r="L500" s="503"/>
      <c r="M500" s="68"/>
      <c r="N500" s="882"/>
      <c r="O500" s="2407"/>
      <c r="P500" s="2407"/>
      <c r="Q500" s="68"/>
    </row>
    <row r="501" spans="3:17" s="115" customFormat="1" ht="12.75">
      <c r="C501" s="697"/>
      <c r="D501" s="68"/>
      <c r="E501" s="68"/>
      <c r="F501" s="68"/>
      <c r="G501" s="1508" t="s">
        <v>4060</v>
      </c>
      <c r="H501" s="882" t="s">
        <v>4066</v>
      </c>
      <c r="I501" s="1848" t="s">
        <v>2453</v>
      </c>
      <c r="J501" s="68"/>
      <c r="K501" s="68"/>
      <c r="L501" s="503"/>
      <c r="M501" s="68"/>
      <c r="N501" s="882"/>
      <c r="O501" s="2407"/>
      <c r="P501" s="2407"/>
      <c r="Q501" s="68"/>
    </row>
    <row r="502" spans="3:17" s="115" customFormat="1" ht="12.75">
      <c r="C502" s="697"/>
      <c r="D502" s="68"/>
      <c r="E502" s="68"/>
      <c r="F502" s="68"/>
      <c r="G502" s="1508" t="s">
        <v>1749</v>
      </c>
      <c r="H502" s="882" t="s">
        <v>4066</v>
      </c>
      <c r="I502" s="1848" t="s">
        <v>2453</v>
      </c>
      <c r="J502" s="68"/>
      <c r="K502" s="68"/>
      <c r="L502" s="503"/>
      <c r="M502" s="68"/>
      <c r="N502" s="882"/>
      <c r="O502" s="2407"/>
      <c r="P502" s="2407"/>
      <c r="Q502" s="68"/>
    </row>
    <row r="503" spans="3:17" s="115" customFormat="1" ht="12.75">
      <c r="C503" s="697"/>
      <c r="D503" s="68"/>
      <c r="E503" s="68"/>
      <c r="F503" s="68"/>
      <c r="G503" s="1508" t="s">
        <v>472</v>
      </c>
      <c r="H503" s="882" t="s">
        <v>4066</v>
      </c>
      <c r="I503" s="1848" t="s">
        <v>2453</v>
      </c>
      <c r="J503" s="68"/>
      <c r="K503" s="68"/>
      <c r="L503" s="503"/>
      <c r="M503" s="68"/>
      <c r="N503" s="882"/>
      <c r="O503" s="2407"/>
      <c r="P503" s="2407"/>
      <c r="Q503" s="68"/>
    </row>
    <row r="504" spans="3:17" s="115" customFormat="1" ht="12.75">
      <c r="C504" s="697"/>
      <c r="D504" s="68"/>
      <c r="E504" s="68"/>
      <c r="F504" s="68"/>
      <c r="G504" s="1508" t="s">
        <v>1951</v>
      </c>
      <c r="H504" s="882" t="s">
        <v>4066</v>
      </c>
      <c r="I504" s="1848" t="s">
        <v>2453</v>
      </c>
      <c r="J504" s="68"/>
      <c r="K504" s="68"/>
      <c r="L504" s="503"/>
      <c r="M504" s="68"/>
      <c r="N504" s="882"/>
      <c r="O504" s="2407"/>
      <c r="P504" s="2407"/>
      <c r="Q504" s="68"/>
    </row>
    <row r="505" spans="3:17" s="115" customFormat="1" ht="12.75">
      <c r="C505" s="697"/>
      <c r="D505" s="68"/>
      <c r="E505" s="68"/>
      <c r="F505" s="68"/>
      <c r="G505" s="1508" t="s">
        <v>2088</v>
      </c>
      <c r="H505" s="882">
        <v>2020</v>
      </c>
      <c r="I505" s="882" t="s">
        <v>4065</v>
      </c>
      <c r="J505" s="68"/>
      <c r="K505" s="68"/>
      <c r="L505" s="503"/>
      <c r="M505" s="68"/>
      <c r="N505" s="882"/>
      <c r="O505" s="2407"/>
      <c r="P505" s="2407"/>
      <c r="Q505" s="68"/>
    </row>
    <row r="506" spans="3:17" s="115" customFormat="1" ht="12.75">
      <c r="C506" s="697"/>
      <c r="D506" s="68"/>
      <c r="E506" s="68"/>
      <c r="F506" s="68"/>
      <c r="G506" s="1508" t="s">
        <v>1974</v>
      </c>
      <c r="H506" s="882">
        <v>2020</v>
      </c>
      <c r="I506" s="882" t="s">
        <v>4065</v>
      </c>
      <c r="J506" s="68"/>
      <c r="K506" s="68"/>
      <c r="L506" s="68"/>
      <c r="M506" s="68"/>
      <c r="N506" s="882"/>
      <c r="O506" s="2407"/>
      <c r="P506" s="2407"/>
      <c r="Q506" s="68"/>
    </row>
    <row r="507" spans="3:17" s="115" customFormat="1" ht="12.75">
      <c r="C507" s="68"/>
      <c r="D507" s="68"/>
      <c r="E507" s="68"/>
      <c r="F507" s="68"/>
      <c r="G507" s="1508" t="s">
        <v>2154</v>
      </c>
      <c r="H507" s="882">
        <v>2019</v>
      </c>
      <c r="I507" s="882" t="s">
        <v>4065</v>
      </c>
      <c r="J507" s="68"/>
      <c r="K507" s="68"/>
      <c r="L507" s="68"/>
      <c r="M507" s="68"/>
      <c r="N507" s="882"/>
      <c r="O507" s="2407"/>
      <c r="P507" s="2407"/>
      <c r="Q507" s="68"/>
    </row>
    <row r="508" spans="3:17" s="115" customFormat="1" ht="12.75">
      <c r="C508" s="68"/>
      <c r="D508" s="68"/>
      <c r="E508" s="68"/>
      <c r="F508" s="68"/>
      <c r="G508" s="1508" t="s">
        <v>4061</v>
      </c>
      <c r="H508" s="68"/>
      <c r="I508" s="68"/>
      <c r="J508" s="68"/>
      <c r="K508" s="68"/>
      <c r="L508" s="68"/>
      <c r="M508" s="68"/>
      <c r="N508" s="882"/>
      <c r="O508" s="2407"/>
      <c r="P508" s="2407"/>
      <c r="Q508" s="68"/>
    </row>
    <row r="509" spans="3:17" s="115" customFormat="1" ht="12.75">
      <c r="C509" s="68"/>
      <c r="D509" s="68"/>
      <c r="E509" s="68"/>
      <c r="F509" s="68"/>
      <c r="G509" s="1508" t="s">
        <v>1574</v>
      </c>
      <c r="H509" s="882">
        <v>2019</v>
      </c>
      <c r="I509" s="882" t="s">
        <v>4065</v>
      </c>
      <c r="J509" s="68"/>
      <c r="K509" s="68"/>
      <c r="L509" s="68"/>
      <c r="M509" s="68"/>
      <c r="N509" s="882"/>
      <c r="O509" s="2407"/>
      <c r="P509" s="2407"/>
      <c r="Q509" s="68"/>
    </row>
    <row r="510" spans="3:17" s="115" customFormat="1" ht="12.75">
      <c r="C510" s="68"/>
      <c r="D510" s="68"/>
      <c r="E510" s="68"/>
      <c r="F510" s="68"/>
      <c r="G510" s="1508" t="s">
        <v>1577</v>
      </c>
      <c r="H510" s="882">
        <v>2020</v>
      </c>
      <c r="I510" s="882" t="s">
        <v>4065</v>
      </c>
      <c r="J510" s="68"/>
      <c r="K510" s="68"/>
      <c r="L510" s="68"/>
      <c r="M510" s="68"/>
      <c r="N510" s="882"/>
      <c r="O510" s="2407"/>
      <c r="P510" s="2407"/>
      <c r="Q510" s="68"/>
    </row>
    <row r="511" spans="3:17" s="115" customFormat="1" ht="12.75">
      <c r="C511" s="68"/>
      <c r="D511" s="68"/>
      <c r="E511" s="68"/>
      <c r="F511" s="68"/>
      <c r="G511" s="1508" t="s">
        <v>1582</v>
      </c>
      <c r="H511" s="882">
        <v>2020</v>
      </c>
      <c r="I511" s="882" t="s">
        <v>4065</v>
      </c>
      <c r="J511" s="68"/>
      <c r="K511" s="68"/>
      <c r="L511" s="68"/>
      <c r="M511" s="68"/>
      <c r="N511" s="882"/>
      <c r="O511" s="2407"/>
      <c r="P511" s="2407"/>
      <c r="Q511" s="68"/>
    </row>
    <row r="512" spans="3:17" s="115" customFormat="1" ht="12.75">
      <c r="C512" s="68"/>
      <c r="D512" s="68"/>
      <c r="E512" s="68"/>
      <c r="F512" s="68"/>
      <c r="G512" s="1508" t="s">
        <v>1590</v>
      </c>
      <c r="H512" s="882">
        <v>2020</v>
      </c>
      <c r="I512" s="882" t="s">
        <v>4065</v>
      </c>
      <c r="J512" s="68"/>
      <c r="K512" s="68"/>
      <c r="L512" s="68"/>
      <c r="M512" s="68"/>
      <c r="N512" s="882"/>
      <c r="O512" s="2407"/>
      <c r="P512" s="2407"/>
      <c r="Q512" s="68"/>
    </row>
    <row r="513" spans="3:17" s="115" customFormat="1" ht="12.75">
      <c r="C513" s="68"/>
      <c r="D513" s="68"/>
      <c r="E513" s="68"/>
      <c r="F513" s="68"/>
      <c r="G513" s="1508" t="s">
        <v>1591</v>
      </c>
      <c r="H513" s="882">
        <v>2019</v>
      </c>
      <c r="I513" s="882" t="s">
        <v>4065</v>
      </c>
      <c r="J513" s="68"/>
      <c r="K513" s="68"/>
      <c r="L513" s="68"/>
      <c r="M513" s="68"/>
      <c r="N513" s="882"/>
      <c r="O513" s="2407"/>
      <c r="P513" s="2407"/>
      <c r="Q513" s="68"/>
    </row>
    <row r="514" spans="3:17" s="115" customFormat="1" ht="12.75">
      <c r="C514" s="68"/>
      <c r="D514" s="68"/>
      <c r="E514" s="68"/>
      <c r="F514" s="68"/>
      <c r="G514" s="1508" t="s">
        <v>100</v>
      </c>
      <c r="H514" s="882">
        <v>2020</v>
      </c>
      <c r="I514" s="882" t="s">
        <v>4065</v>
      </c>
      <c r="J514" s="68"/>
      <c r="K514" s="68"/>
      <c r="L514" s="68"/>
      <c r="M514" s="68"/>
      <c r="N514" s="882"/>
      <c r="O514" s="2407"/>
      <c r="P514" s="2407"/>
      <c r="Q514" s="68"/>
    </row>
    <row r="515" spans="3:17" s="115" customFormat="1" ht="12.75">
      <c r="C515" s="68"/>
      <c r="D515" s="68"/>
      <c r="E515" s="68"/>
      <c r="F515" s="68"/>
      <c r="G515" s="1508" t="s">
        <v>285</v>
      </c>
      <c r="H515" s="882">
        <v>2020</v>
      </c>
      <c r="I515" s="882" t="s">
        <v>4065</v>
      </c>
      <c r="J515" s="68"/>
      <c r="K515" s="68"/>
      <c r="L515" s="68"/>
      <c r="M515" s="68"/>
      <c r="N515" s="882"/>
      <c r="O515" s="2407"/>
      <c r="P515" s="2407"/>
      <c r="Q515" s="68"/>
    </row>
    <row r="516" spans="3:17" s="115" customFormat="1" ht="12.75">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5625" defaultRowHeight="15"/>
  <cols>
    <col min="1" max="3" width="12.73046875" style="507" customWidth="1"/>
    <col min="4" max="4" width="15.3984375" style="507" customWidth="1"/>
    <col min="5" max="5" width="4.73046875" style="507" customWidth="1"/>
    <col min="6" max="9" width="12.73046875" style="507" customWidth="1"/>
    <col min="10" max="10" width="5.265625" style="507" customWidth="1"/>
    <col min="11" max="16384" width="9.265625" style="507"/>
  </cols>
  <sheetData>
    <row r="1" spans="1:16">
      <c r="A1" s="4726" t="s">
        <v>2581</v>
      </c>
      <c r="B1" s="4726"/>
      <c r="C1" s="4726"/>
      <c r="D1" s="4726"/>
      <c r="E1" s="4726"/>
      <c r="F1" s="4726"/>
      <c r="G1" s="4726"/>
      <c r="H1" s="4726"/>
      <c r="I1" s="4726"/>
      <c r="J1" s="4726"/>
    </row>
    <row r="2" spans="1:16">
      <c r="A2" s="4726" t="str">
        <f>'Sensitivity Analysis'!C8</f>
        <v>Dogwood Trail Apartments II</v>
      </c>
      <c r="B2" s="4726"/>
      <c r="C2" s="4726"/>
      <c r="D2" s="4726"/>
      <c r="E2" s="4726"/>
      <c r="F2" s="4726"/>
      <c r="G2" s="4726"/>
      <c r="H2" s="4726"/>
      <c r="I2" s="4726"/>
      <c r="J2" s="4726"/>
    </row>
    <row r="3" spans="1:16">
      <c r="A3" s="4726" t="str">
        <f>'Subsidy Layering Memo'!F14</f>
        <v>Albany, Dougherty</v>
      </c>
      <c r="B3" s="4726"/>
      <c r="C3" s="4726"/>
      <c r="D3" s="4726"/>
      <c r="E3" s="4726"/>
      <c r="F3" s="4726"/>
      <c r="G3" s="4726"/>
      <c r="H3" s="4726"/>
      <c r="I3" s="4726"/>
      <c r="J3" s="4726"/>
    </row>
    <row r="4" spans="1:16">
      <c r="A4" s="4727" t="s">
        <v>2582</v>
      </c>
      <c r="B4" s="4726"/>
      <c r="C4" s="4726"/>
      <c r="D4" s="4726"/>
      <c r="E4" s="4726"/>
      <c r="F4" s="4726"/>
      <c r="G4" s="4726"/>
      <c r="H4" s="4726"/>
      <c r="I4" s="4726"/>
      <c r="J4" s="4726"/>
    </row>
    <row r="5" spans="1:16" ht="5.25" customHeight="1"/>
    <row r="6" spans="1:16" ht="5.25" customHeight="1"/>
    <row r="7" spans="1:16">
      <c r="A7" s="4728" t="s">
        <v>2583</v>
      </c>
      <c r="B7" s="4728"/>
      <c r="C7" s="4729"/>
      <c r="M7" s="4730"/>
      <c r="N7" s="4730"/>
      <c r="O7" s="4730"/>
      <c r="P7" s="4730"/>
    </row>
    <row r="8" spans="1:16" ht="57" customHeight="1">
      <c r="A8" s="4731" t="s">
        <v>6151</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Albany, Dougherty County, Georgia, with the development of 40 units set aside for &lt;&lt; Select PROPOSED Tenancy &gt;&gt;.</v>
      </c>
      <c r="B9" s="4731"/>
      <c r="C9" s="4731"/>
      <c r="D9" s="4731"/>
      <c r="E9" s="4731"/>
      <c r="F9" s="4731"/>
      <c r="G9" s="4731"/>
      <c r="H9" s="4731"/>
      <c r="I9" s="4731"/>
      <c r="J9" s="4731"/>
      <c r="K9" s="508"/>
    </row>
    <row r="10" spans="1:16">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c r="A14" s="509" t="s">
        <v>2585</v>
      </c>
      <c r="B14" s="510"/>
    </row>
    <row r="15" spans="1:16">
      <c r="A15" s="507" t="s">
        <v>2586</v>
      </c>
      <c r="D15" s="1020" t="s">
        <v>2587</v>
      </c>
    </row>
    <row r="16" spans="1:16">
      <c r="A16" s="507" t="s">
        <v>2588</v>
      </c>
      <c r="D16" s="1254">
        <f>'Sensitivity Analysis'!C25</f>
        <v>641200</v>
      </c>
    </row>
    <row r="17" spans="1:11">
      <c r="A17" s="511" t="s">
        <v>2589</v>
      </c>
      <c r="D17" s="1255">
        <f>'Sensitivity Analysis'!C13</f>
        <v>40</v>
      </c>
    </row>
    <row r="18" spans="1:11" ht="14.25" customHeight="1"/>
    <row r="19" spans="1:11">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6566461 via the syndication of the 2021 Federal LIHTC allocation of 799212 per annum. will make a capital contribution totaling 4222236 via the syndication of the 2021 State LIHTC allocation of 799212 per annum.</v>
      </c>
      <c r="B21" s="4731"/>
      <c r="C21" s="4731"/>
      <c r="D21" s="4731"/>
      <c r="E21" s="4731"/>
      <c r="F21" s="4731"/>
      <c r="G21" s="4731"/>
      <c r="H21" s="4731"/>
      <c r="I21" s="4731"/>
      <c r="J21" s="4731"/>
    </row>
    <row r="22" spans="1:11" ht="43.5" customHeight="1">
      <c r="A22" s="4735" t="str">
        <f>'Subsidy Layering Memo'!A68</f>
        <v xml:space="preserve">The total equity price per credit will be 1.35 (0.83 Federal tax credit and 0.52 State tax credit) for a (X%) ownership interest of the Federal Credits and a (X%) ownership interest of the State Credits. </v>
      </c>
      <c r="B22" s="4735"/>
      <c r="C22" s="4735"/>
      <c r="D22" s="4735"/>
      <c r="E22" s="4735"/>
      <c r="F22" s="4735"/>
      <c r="G22" s="4735"/>
      <c r="H22" s="4735"/>
      <c r="I22" s="4735"/>
      <c r="J22" s="4735"/>
    </row>
    <row r="23" spans="1:11">
      <c r="A23" s="509" t="s">
        <v>6152</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c r="A27" s="510" t="s">
        <v>2591</v>
      </c>
    </row>
    <row r="29" spans="1:11" ht="15.4"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5" zoomScaleNormal="100" workbookViewId="0">
      <selection activeCell="A42" sqref="A42"/>
    </sheetView>
  </sheetViews>
  <sheetFormatPr defaultColWidth="9.265625" defaultRowHeight="12.75"/>
  <cols>
    <col min="1" max="1" width="3.265625" style="145" customWidth="1"/>
    <col min="2" max="2" width="2.265625" style="253" customWidth="1"/>
    <col min="3" max="11" width="8.73046875" style="145" customWidth="1"/>
    <col min="12" max="12" width="4" style="145" customWidth="1"/>
    <col min="13" max="13" width="8.73046875" style="145" customWidth="1"/>
    <col min="14" max="14" width="9.265625" style="145" customWidth="1"/>
    <col min="15" max="16" width="8.73046875" style="145" customWidth="1"/>
    <col min="17" max="17" width="9.265625" style="145"/>
    <col min="18" max="18" width="10.265625" style="145" bestFit="1" customWidth="1"/>
    <col min="19" max="19" width="9.265625" style="145"/>
    <col min="20" max="20" width="10.265625" style="145" bestFit="1" customWidth="1"/>
    <col min="21" max="25" width="9.265625" style="145"/>
    <col min="26" max="26" width="9.265625" style="1681"/>
    <col min="27" max="16384" width="9.26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Dogwood Trail Apartments II, Albany, Dougherty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7033</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6910</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799212</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7087</v>
      </c>
      <c r="G12" s="3041"/>
      <c r="H12" s="3042"/>
      <c r="I12" s="1789" t="s">
        <v>6517</v>
      </c>
      <c r="J12" s="393" t="s">
        <v>6942</v>
      </c>
      <c r="K12" s="243"/>
      <c r="L12" s="248"/>
      <c r="O12" s="3043" t="s">
        <v>7088</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7034</v>
      </c>
      <c r="G15" s="3017"/>
      <c r="H15" s="3018"/>
      <c r="I15" s="2444" t="s">
        <v>1670</v>
      </c>
      <c r="J15" s="3019" t="s">
        <v>7035</v>
      </c>
      <c r="K15" s="3020"/>
      <c r="L15" s="3021"/>
      <c r="M15" s="1898" t="s">
        <v>1839</v>
      </c>
      <c r="N15" s="3016" t="s">
        <v>2278</v>
      </c>
      <c r="O15" s="3017"/>
      <c r="P15" s="3018"/>
      <c r="Q15" s="3050"/>
      <c r="R15" s="3051"/>
      <c r="S15" s="3052"/>
      <c r="Z15" s="1706">
        <v>15</v>
      </c>
    </row>
    <row r="16" spans="1:26" s="144" customFormat="1" ht="12.75" customHeight="1">
      <c r="B16" s="246" t="s">
        <v>1599</v>
      </c>
      <c r="F16" s="3013">
        <v>2514041225</v>
      </c>
      <c r="G16" s="3014"/>
      <c r="H16" s="3015"/>
      <c r="I16" s="2445" t="s">
        <v>1598</v>
      </c>
      <c r="J16" s="823"/>
      <c r="M16" s="246" t="s">
        <v>1600</v>
      </c>
      <c r="N16" s="3013">
        <v>2514041225</v>
      </c>
      <c r="O16" s="3014"/>
      <c r="P16" s="3015"/>
      <c r="Q16" s="3050"/>
      <c r="R16" s="3051"/>
      <c r="S16" s="3052"/>
      <c r="V16" s="751"/>
      <c r="W16" s="751"/>
      <c r="X16" s="751"/>
      <c r="Z16" s="1706">
        <v>18</v>
      </c>
    </row>
    <row r="17" spans="1:26" s="144" customFormat="1">
      <c r="B17" s="246" t="s">
        <v>1842</v>
      </c>
      <c r="F17" s="3022" t="s">
        <v>7036</v>
      </c>
      <c r="G17" s="3023"/>
      <c r="H17" s="3023"/>
      <c r="I17" s="3020"/>
      <c r="J17" s="3023"/>
      <c r="K17" s="3020"/>
      <c r="L17" s="3021"/>
      <c r="M17" s="246" t="s">
        <v>1838</v>
      </c>
      <c r="N17" s="3024">
        <v>2514041225</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7037</v>
      </c>
      <c r="G19" s="3017"/>
      <c r="H19" s="3018"/>
      <c r="I19" s="2444" t="s">
        <v>1670</v>
      </c>
      <c r="J19" s="3019" t="s">
        <v>7038</v>
      </c>
      <c r="K19" s="3020"/>
      <c r="L19" s="3021"/>
      <c r="M19" s="1898" t="s">
        <v>1839</v>
      </c>
      <c r="N19" s="3016" t="s">
        <v>7039</v>
      </c>
      <c r="O19" s="3017"/>
      <c r="P19" s="3018"/>
      <c r="Q19" s="3050"/>
      <c r="R19" s="3051"/>
      <c r="S19" s="3052"/>
      <c r="Z19" s="1706">
        <v>21</v>
      </c>
    </row>
    <row r="20" spans="1:26" s="144" customFormat="1">
      <c r="B20" s="246" t="s">
        <v>1599</v>
      </c>
      <c r="F20" s="3013">
        <v>7039426610</v>
      </c>
      <c r="G20" s="3014"/>
      <c r="H20" s="3015"/>
      <c r="I20" s="2445" t="s">
        <v>1598</v>
      </c>
      <c r="J20" s="823">
        <v>213</v>
      </c>
      <c r="M20" s="246" t="s">
        <v>1600</v>
      </c>
      <c r="N20" s="3013"/>
      <c r="O20" s="3014"/>
      <c r="P20" s="3015"/>
      <c r="Q20" s="3050"/>
      <c r="R20" s="3051"/>
      <c r="S20" s="3052"/>
      <c r="U20" s="230"/>
      <c r="V20" s="230"/>
      <c r="W20" s="230"/>
      <c r="X20" s="230"/>
      <c r="Z20" s="1706">
        <v>24</v>
      </c>
    </row>
    <row r="21" spans="1:26" s="144" customFormat="1">
      <c r="B21" s="246" t="s">
        <v>1842</v>
      </c>
      <c r="F21" s="3022" t="s">
        <v>7040</v>
      </c>
      <c r="G21" s="3023"/>
      <c r="H21" s="3023"/>
      <c r="I21" s="3020"/>
      <c r="J21" s="3023"/>
      <c r="K21" s="3020"/>
      <c r="L21" s="3021"/>
      <c r="M21" s="246" t="s">
        <v>1838</v>
      </c>
      <c r="N21" s="3024">
        <v>9787906613</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7041</v>
      </c>
      <c r="G25" s="3027"/>
      <c r="H25" s="3027"/>
      <c r="I25" s="3020"/>
      <c r="J25" s="3027"/>
      <c r="K25" s="3028"/>
      <c r="M25" s="246" t="s">
        <v>425</v>
      </c>
      <c r="P25" s="1899" t="s">
        <v>2649</v>
      </c>
      <c r="Q25" s="3050"/>
      <c r="R25" s="3051"/>
      <c r="S25" s="3052"/>
      <c r="Z25" s="1706">
        <v>29</v>
      </c>
    </row>
    <row r="26" spans="1:26" s="144" customFormat="1">
      <c r="A26" s="375"/>
      <c r="B26" s="144" t="s">
        <v>575</v>
      </c>
      <c r="F26" s="3058" t="s">
        <v>1657</v>
      </c>
      <c r="G26" s="3071"/>
      <c r="H26" s="3072"/>
      <c r="I26" s="257" t="s">
        <v>576</v>
      </c>
      <c r="J26" s="3029" t="str">
        <f>IF(F26="","",VLOOKUP(F26,'DCA Underwriting Assumptions'!$T$141:$U$770,2,FALSE))</f>
        <v>Dougherty</v>
      </c>
      <c r="K26" s="3030"/>
      <c r="M26" s="246" t="s">
        <v>426</v>
      </c>
      <c r="P26" s="1956" t="s">
        <v>2652</v>
      </c>
      <c r="Q26" s="3050"/>
      <c r="R26" s="3051"/>
      <c r="S26" s="3052"/>
      <c r="U26" s="375"/>
      <c r="Z26" s="1706">
        <v>30</v>
      </c>
    </row>
    <row r="27" spans="1:26" s="144" customFormat="1">
      <c r="A27" s="375"/>
      <c r="B27" s="144" t="s">
        <v>3906</v>
      </c>
      <c r="C27" s="251"/>
      <c r="D27" s="252"/>
      <c r="E27" s="252"/>
      <c r="F27" s="3058" t="s">
        <v>7042</v>
      </c>
      <c r="G27" s="3059"/>
      <c r="H27" s="3060"/>
      <c r="I27" s="248"/>
      <c r="J27" s="392" t="s">
        <v>6723</v>
      </c>
      <c r="K27" s="248"/>
      <c r="M27" s="246" t="s">
        <v>6666</v>
      </c>
      <c r="O27" s="3011">
        <v>3.46</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Albany</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7113</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5625" defaultRowHeight="12.75"/>
  <cols>
    <col min="1" max="1" width="16.73046875" customWidth="1"/>
    <col min="2" max="3" width="26.265625" customWidth="1"/>
    <col min="4" max="4" width="9.3984375" customWidth="1"/>
    <col min="5" max="5" width="25.59765625" customWidth="1"/>
    <col min="6" max="6" width="8.59765625" customWidth="1"/>
    <col min="7" max="7" width="21.73046875" customWidth="1"/>
    <col min="8" max="8" width="6.59765625" customWidth="1"/>
    <col min="9" max="9" width="19.265625" customWidth="1"/>
    <col min="10" max="10" width="6.59765625" customWidth="1"/>
    <col min="11" max="11" width="18.73046875" customWidth="1"/>
    <col min="12" max="12" width="7.59765625" customWidth="1"/>
    <col min="13" max="17" width="10.73046875" customWidth="1"/>
  </cols>
  <sheetData>
    <row r="1" spans="1:14" s="10" customFormat="1" ht="17.649999999999999">
      <c r="A1" s="966" t="s">
        <v>2645</v>
      </c>
      <c r="B1" s="550"/>
      <c r="C1" s="550"/>
      <c r="D1" s="550"/>
      <c r="E1" s="550"/>
      <c r="F1" s="550"/>
      <c r="G1" s="550"/>
      <c r="H1" s="550"/>
      <c r="I1" s="550"/>
      <c r="J1" s="550"/>
      <c r="K1" s="550"/>
      <c r="L1" s="510"/>
      <c r="M1" s="510"/>
    </row>
    <row r="2" spans="1:14" s="10" customFormat="1" ht="17.649999999999999">
      <c r="A2" s="966" t="str">
        <f>+"Financial Analysis for:  "&amp;E8&amp;"  "&amp;C8</f>
        <v>Financial Analysis for:  2023-0  Dogwood Trail Apartments II</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
      <c r="A8" s="576" t="s">
        <v>2647</v>
      </c>
      <c r="B8" s="576"/>
      <c r="C8" s="4737" t="str">
        <f>'Part I-Project Identification'!$F$25</f>
        <v>Dogwood Trail Apartments II</v>
      </c>
      <c r="D8" s="4737"/>
      <c r="E8" s="1978" t="str">
        <f>'Part I-Project Identification'!$O$7</f>
        <v>2023-0</v>
      </c>
      <c r="F8" s="576" t="s">
        <v>2648</v>
      </c>
      <c r="G8" s="567"/>
      <c r="H8" s="4737" t="str">
        <f>CONCATENATE('Part I-Project Identification'!$F$26,", ",'Part I-Project Identification'!$J$26)</f>
        <v>Albany, Dougherty</v>
      </c>
      <c r="I8" s="4737"/>
      <c r="J8" s="4737"/>
      <c r="K8" s="4737"/>
      <c r="L8" s="567"/>
      <c r="M8" s="545"/>
    </row>
    <row r="9" spans="1:14" ht="15">
      <c r="A9" s="576" t="s">
        <v>2650</v>
      </c>
      <c r="B9" s="576"/>
      <c r="C9" s="4737" t="s">
        <v>1646</v>
      </c>
      <c r="D9" s="4737"/>
      <c r="E9" s="567"/>
      <c r="F9" s="576" t="s">
        <v>2651</v>
      </c>
      <c r="G9" s="567"/>
      <c r="H9" s="4738"/>
      <c r="I9" s="4738"/>
      <c r="J9" s="4738"/>
      <c r="K9" s="4738"/>
      <c r="L9" s="4738"/>
      <c r="M9" s="545"/>
    </row>
    <row r="10" spans="1:14" ht="15">
      <c r="A10" s="576" t="s">
        <v>2653</v>
      </c>
      <c r="B10" s="567"/>
      <c r="C10" s="4739"/>
      <c r="D10" s="4739"/>
      <c r="E10" s="567"/>
      <c r="F10" s="576" t="s">
        <v>3131</v>
      </c>
      <c r="G10" s="567"/>
      <c r="H10" s="4736"/>
      <c r="I10" s="4736"/>
      <c r="J10" s="4736"/>
      <c r="K10" s="4736"/>
      <c r="L10" s="4736"/>
    </row>
    <row r="11" spans="1:14" ht="15">
      <c r="A11" s="576" t="s">
        <v>2654</v>
      </c>
      <c r="B11" s="567"/>
      <c r="C11" s="4740"/>
      <c r="D11" s="4740"/>
      <c r="E11" s="1992"/>
      <c r="F11" s="576" t="s">
        <v>606</v>
      </c>
      <c r="G11" s="567"/>
      <c r="H11" s="4736"/>
      <c r="I11" s="4736"/>
      <c r="J11" s="4736"/>
      <c r="K11" s="4736"/>
      <c r="L11" s="4736"/>
      <c r="M11" s="4741"/>
      <c r="N11" s="4742"/>
    </row>
    <row r="12" spans="1:14" ht="15">
      <c r="A12" s="576" t="s">
        <v>2655</v>
      </c>
      <c r="B12" s="567"/>
      <c r="C12" s="4740"/>
      <c r="D12" s="4740"/>
      <c r="E12" s="567"/>
      <c r="F12" s="576" t="s">
        <v>2656</v>
      </c>
      <c r="G12" s="567"/>
      <c r="H12" s="4740"/>
      <c r="I12" s="4740"/>
      <c r="J12" s="4740"/>
      <c r="K12" s="4740"/>
      <c r="L12" s="4740"/>
      <c r="M12" s="507"/>
    </row>
    <row r="13" spans="1:14" ht="15">
      <c r="A13" s="576" t="s">
        <v>2657</v>
      </c>
      <c r="B13" s="576"/>
      <c r="C13" s="1979">
        <f>'Part V-Revenues &amp; Expenses'!$P$67</f>
        <v>40</v>
      </c>
      <c r="D13" s="26"/>
      <c r="E13" s="1980">
        <f>'Part V-Revenues &amp; Expenses'!$P$63</f>
        <v>40</v>
      </c>
      <c r="F13" s="576" t="s">
        <v>3451</v>
      </c>
      <c r="G13" s="567"/>
      <c r="H13" s="1990"/>
      <c r="I13" s="1982"/>
      <c r="J13" s="1982"/>
      <c r="K13" s="1981">
        <f>'Part V-Revenues &amp; Expenses'!$K$175</f>
        <v>56086</v>
      </c>
      <c r="L13" s="567"/>
      <c r="M13" s="507"/>
    </row>
    <row r="14" spans="1:14" ht="1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3099</v>
      </c>
      <c r="I14" s="4743"/>
      <c r="J14" s="4743"/>
      <c r="K14" s="4743" t="s">
        <v>3099</v>
      </c>
      <c r="L14" s="4743"/>
      <c r="M14" s="507"/>
    </row>
    <row r="15" spans="1:14" ht="15">
      <c r="A15" s="576" t="s">
        <v>2659</v>
      </c>
      <c r="B15" s="567"/>
      <c r="C15" s="1983" t="s">
        <v>1646</v>
      </c>
      <c r="D15" s="567"/>
      <c r="E15" s="567"/>
      <c r="F15" s="576" t="s">
        <v>2950</v>
      </c>
      <c r="G15" s="567"/>
      <c r="H15" s="1978" t="str">
        <f>'Part I-Project Identification'!K28</f>
        <v>Urban</v>
      </c>
      <c r="I15" s="567"/>
      <c r="J15" s="567"/>
      <c r="K15" s="567"/>
      <c r="L15" s="567"/>
      <c r="M15" s="507"/>
    </row>
    <row r="16" spans="1:14" ht="1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
      <c r="A18" s="576" t="s">
        <v>2952</v>
      </c>
      <c r="B18" s="567"/>
      <c r="C18" s="1985">
        <f>'Part III-A-Uses of Funds'!$G$146</f>
        <v>11432050</v>
      </c>
      <c r="D18" s="1986">
        <f>IF(C18=0,"",$C$29/C18)</f>
        <v>5.6087928236842909E-2</v>
      </c>
      <c r="E18" s="567" t="s">
        <v>2953</v>
      </c>
      <c r="F18" s="576" t="s">
        <v>6749</v>
      </c>
      <c r="G18" s="567"/>
      <c r="H18" s="4744">
        <f>'Part III-A-Uses of Funds'!$C$49</f>
        <v>8162400</v>
      </c>
      <c r="I18" s="4744"/>
      <c r="J18" s="1987">
        <f>IF(H18=0,"",$C$29/H18)</f>
        <v>7.8555326864647654E-2</v>
      </c>
      <c r="K18" s="4737" t="s">
        <v>2955</v>
      </c>
      <c r="L18" s="4737"/>
      <c r="M18" s="507"/>
    </row>
    <row r="19" spans="1:13" ht="15">
      <c r="A19" s="576" t="s">
        <v>2660</v>
      </c>
      <c r="B19" s="567"/>
      <c r="C19" s="1988">
        <f>C18/C13</f>
        <v>285801.25</v>
      </c>
      <c r="D19" s="567"/>
      <c r="E19" s="567"/>
      <c r="F19" s="576" t="s">
        <v>2660</v>
      </c>
      <c r="G19" s="567"/>
      <c r="H19" s="4745">
        <f>H18/C13</f>
        <v>204060</v>
      </c>
      <c r="I19" s="4745"/>
      <c r="J19" s="567"/>
      <c r="K19" s="567"/>
      <c r="L19" s="567"/>
      <c r="M19" s="507"/>
    </row>
    <row r="20" spans="1:13" ht="15">
      <c r="A20" s="576" t="s">
        <v>2661</v>
      </c>
      <c r="B20" s="567"/>
      <c r="C20" s="1978">
        <f>C18/K13</f>
        <v>203.83072424490959</v>
      </c>
      <c r="D20" s="1989"/>
      <c r="E20" s="1989"/>
      <c r="F20" s="576" t="s">
        <v>2661</v>
      </c>
      <c r="G20" s="567"/>
      <c r="H20" s="4737">
        <f>H18/K13</f>
        <v>145.53364475983312</v>
      </c>
      <c r="I20" s="4745"/>
      <c r="J20" s="567"/>
      <c r="K20" s="567"/>
      <c r="L20" s="56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Churchill Stateside Group</v>
      </c>
      <c r="C25" s="553">
        <f>'Part II-Sources of Funds'!I40</f>
        <v>641200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1976">
        <f>SUM(C25:C27)</f>
        <v>641200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10788697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4">
      <c r="A34" s="507"/>
      <c r="B34" s="556" t="s">
        <v>2675</v>
      </c>
      <c r="C34" s="558">
        <f>SUM(C31:C33)</f>
        <v>0</v>
      </c>
      <c r="D34" s="507"/>
      <c r="E34" s="507"/>
      <c r="F34" s="507"/>
      <c r="G34" s="507"/>
      <c r="H34" s="507"/>
      <c r="I34" s="507"/>
      <c r="K34" s="507"/>
      <c r="L34" s="507"/>
      <c r="M34" s="561"/>
    </row>
    <row r="35" spans="1:13" ht="15">
      <c r="A35" s="507"/>
      <c r="B35" s="556"/>
      <c r="C35" s="507"/>
      <c r="D35" s="507"/>
      <c r="E35" s="507"/>
      <c r="F35" s="507"/>
      <c r="G35" s="973" t="s">
        <v>2676</v>
      </c>
      <c r="H35" s="973"/>
      <c r="I35" s="973"/>
      <c r="K35" s="562" t="e">
        <f>(C36)/K25</f>
        <v>#DIV/0!</v>
      </c>
      <c r="L35" s="507"/>
      <c r="M35" s="507"/>
    </row>
    <row r="36" spans="1:13" ht="15">
      <c r="A36" s="507"/>
      <c r="B36" s="556" t="s">
        <v>2677</v>
      </c>
      <c r="C36" s="558">
        <f>C29+C34</f>
        <v>641200</v>
      </c>
      <c r="D36" s="507"/>
      <c r="E36" s="507"/>
      <c r="F36" s="507"/>
      <c r="G36" s="507"/>
      <c r="H36" s="507"/>
      <c r="I36" s="507"/>
      <c r="K36" s="507"/>
      <c r="L36" s="507"/>
      <c r="M36" s="507"/>
    </row>
    <row r="37" spans="1:13" ht="15.4">
      <c r="A37" s="507"/>
      <c r="B37" s="556"/>
      <c r="C37" s="559"/>
      <c r="D37" s="507"/>
      <c r="E37" s="507"/>
      <c r="F37" s="507"/>
      <c r="G37" s="973" t="s">
        <v>2678</v>
      </c>
      <c r="H37" s="973"/>
      <c r="I37" s="973"/>
      <c r="K37" s="974" t="e">
        <f>+(C36)/K32</f>
        <v>#DIV/0!</v>
      </c>
      <c r="L37" s="507"/>
      <c r="M37" s="561"/>
    </row>
    <row r="38" spans="1:13" ht="15.4">
      <c r="A38" s="507"/>
      <c r="B38" s="556" t="s">
        <v>2679</v>
      </c>
      <c r="C38" s="563">
        <f>C36/C18</f>
        <v>5.6087928236842909E-2</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7.8555326864647654E-2</v>
      </c>
      <c r="D40" s="507"/>
      <c r="E40" s="507"/>
      <c r="F40" s="510"/>
      <c r="G40" s="510" t="s">
        <v>2681</v>
      </c>
      <c r="H40" s="507"/>
      <c r="I40" s="507"/>
      <c r="K40" s="555">
        <f>C30/C18</f>
        <v>0.94372374158615469</v>
      </c>
      <c r="L40" s="507"/>
      <c r="M40" s="507"/>
    </row>
    <row r="46" spans="1:13" ht="15">
      <c r="A46" s="550" t="s">
        <v>2682</v>
      </c>
      <c r="B46" s="540"/>
      <c r="C46" s="540"/>
      <c r="D46" s="540"/>
      <c r="E46" s="540"/>
      <c r="F46" s="540"/>
      <c r="G46" s="540"/>
      <c r="H46" s="540"/>
      <c r="I46" s="540"/>
      <c r="J46" s="540"/>
      <c r="K46" s="540"/>
      <c r="L46" s="540"/>
      <c r="M46" s="507"/>
    </row>
    <row r="47" spans="1:13" ht="15">
      <c r="A47" s="550" t="str">
        <f>C8</f>
        <v>Dogwood Trail Apartments II</v>
      </c>
      <c r="B47" s="540"/>
      <c r="C47" s="540"/>
      <c r="D47" s="540"/>
      <c r="E47" s="540"/>
      <c r="F47" s="540"/>
      <c r="G47" s="540"/>
      <c r="H47" s="540"/>
      <c r="I47" s="540"/>
      <c r="J47" s="540"/>
      <c r="K47" s="540"/>
      <c r="L47" s="540"/>
      <c r="M47" s="507"/>
    </row>
    <row r="50" spans="1:14" s="507" customFormat="1" ht="15.4">
      <c r="A50" s="510" t="s">
        <v>2683</v>
      </c>
      <c r="C50" s="561" t="s">
        <v>2684</v>
      </c>
      <c r="E50" s="564" t="s">
        <v>3100</v>
      </c>
      <c r="F50" s="565">
        <v>0.1</v>
      </c>
      <c r="G50" s="564" t="s">
        <v>3101</v>
      </c>
      <c r="H50" s="565">
        <v>0.05</v>
      </c>
      <c r="I50" s="564" t="s">
        <v>3102</v>
      </c>
      <c r="J50" s="565">
        <v>0.03</v>
      </c>
      <c r="K50" s="4746" t="s">
        <v>2685</v>
      </c>
      <c r="L50" s="4747"/>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280920</v>
      </c>
      <c r="D52" s="568"/>
      <c r="E52" s="568">
        <f>$C$52</f>
        <v>280920</v>
      </c>
      <c r="F52" s="568"/>
      <c r="G52" s="568">
        <f>$C$52</f>
        <v>280920</v>
      </c>
      <c r="H52" s="568"/>
      <c r="I52" s="568">
        <f>$C$52</f>
        <v>280920</v>
      </c>
      <c r="J52" s="568"/>
      <c r="K52" s="568">
        <f>$C$52</f>
        <v>280920</v>
      </c>
      <c r="L52" s="569"/>
      <c r="M52"/>
      <c r="N52"/>
    </row>
    <row r="53" spans="1:14" s="507" customFormat="1" ht="18.75" customHeight="1">
      <c r="B53" s="567" t="s">
        <v>2689</v>
      </c>
      <c r="C53" s="568">
        <f>'Part VI-Pro Forma'!B16</f>
        <v>5618.4000000000005</v>
      </c>
      <c r="D53" s="568"/>
      <c r="E53" s="568">
        <f>$C$53</f>
        <v>5618.4000000000005</v>
      </c>
      <c r="F53" s="568"/>
      <c r="G53" s="568">
        <f>$C$53</f>
        <v>5618.4000000000005</v>
      </c>
      <c r="H53" s="568"/>
      <c r="I53" s="568">
        <f>$C$53</f>
        <v>5618.4000000000005</v>
      </c>
      <c r="J53" s="568"/>
      <c r="K53" s="568">
        <f>$C$53</f>
        <v>5618.4000000000005</v>
      </c>
      <c r="L53" s="569"/>
      <c r="M53"/>
      <c r="N53"/>
    </row>
    <row r="54" spans="1:14" s="507" customFormat="1" ht="18.75" customHeight="1">
      <c r="B54" s="567" t="s">
        <v>2687</v>
      </c>
      <c r="C54" s="568">
        <f>'Part VI-Pro Forma'!B17</f>
        <v>-20057.688000000002</v>
      </c>
      <c r="D54" s="568"/>
      <c r="E54" s="568">
        <f>-($C$52+E53)*F50</f>
        <v>-28653.840000000004</v>
      </c>
      <c r="F54" s="570"/>
      <c r="G54" s="568">
        <f>-($C$52+G53)*0.07</f>
        <v>-20057.688000000002</v>
      </c>
      <c r="H54" s="568"/>
      <c r="I54" s="568">
        <f>-($C$52+I53)*0.07</f>
        <v>-20057.688000000002</v>
      </c>
      <c r="J54" s="568"/>
      <c r="K54" s="568">
        <f>-($C$52+K53)*L54</f>
        <v>-28653.840000000004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266480.712</v>
      </c>
      <c r="D56" s="568"/>
      <c r="E56" s="574">
        <f>SUM(E52:E55)</f>
        <v>257884.56000000003</v>
      </c>
      <c r="F56" s="568"/>
      <c r="G56" s="574">
        <f>SUM(G52:G55)</f>
        <v>266480.712</v>
      </c>
      <c r="H56" s="568"/>
      <c r="I56" s="574">
        <f>SUM(I52:I55)</f>
        <v>266480.712</v>
      </c>
      <c r="J56" s="568"/>
      <c r="K56" s="574">
        <f>SUM(K52:K55)</f>
        <v>257884.56000000003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8000</v>
      </c>
      <c r="D58" s="568"/>
      <c r="E58" s="568">
        <f>$C$58</f>
        <v>8000</v>
      </c>
      <c r="F58" s="568"/>
      <c r="G58" s="568">
        <f>$C$58</f>
        <v>8000</v>
      </c>
      <c r="H58" s="568"/>
      <c r="I58" s="568">
        <f>$C$58</f>
        <v>8000</v>
      </c>
      <c r="J58" s="568"/>
      <c r="K58" s="568">
        <f>$C$58</f>
        <v>8000</v>
      </c>
      <c r="L58" s="569"/>
      <c r="M58"/>
      <c r="N58"/>
    </row>
    <row r="59" spans="1:14" s="507" customFormat="1" ht="18.75" customHeight="1">
      <c r="B59" s="567" t="s">
        <v>2692</v>
      </c>
      <c r="C59" s="568">
        <f>+'Part V-Revenues &amp; Expenses'!F244</f>
        <v>5000</v>
      </c>
      <c r="D59" s="568"/>
      <c r="E59" s="568">
        <f>$C$59</f>
        <v>5000</v>
      </c>
      <c r="F59" s="568"/>
      <c r="G59" s="568">
        <f>$C$59</f>
        <v>5000</v>
      </c>
      <c r="H59" s="568"/>
      <c r="I59" s="568">
        <f>$C$59</f>
        <v>5000</v>
      </c>
      <c r="J59" s="568"/>
      <c r="K59" s="568">
        <f>$C$59*(1+$L$59)</f>
        <v>5200</v>
      </c>
      <c r="L59" s="575">
        <v>0.04</v>
      </c>
      <c r="M59"/>
      <c r="N59"/>
    </row>
    <row r="60" spans="1:14" s="507" customFormat="1" ht="18.75" customHeight="1">
      <c r="B60" s="567" t="s">
        <v>1297</v>
      </c>
      <c r="C60" s="568">
        <f>+'Part V-Revenues &amp; Expenses'!L237</f>
        <v>3000</v>
      </c>
      <c r="D60" s="568"/>
      <c r="E60" s="568">
        <f>$C$60</f>
        <v>3000</v>
      </c>
      <c r="F60" s="568"/>
      <c r="G60" s="568">
        <f>$C$60</f>
        <v>3000</v>
      </c>
      <c r="H60" s="568"/>
      <c r="I60" s="568">
        <f>$C$60*(1+$J$50)</f>
        <v>3090</v>
      </c>
      <c r="J60" s="570"/>
      <c r="K60" s="568">
        <f>$C$60*(1+$J$50)</f>
        <v>3090</v>
      </c>
      <c r="L60" s="571">
        <v>0.03</v>
      </c>
      <c r="M60"/>
      <c r="N60"/>
    </row>
    <row r="61" spans="1:14" s="507" customFormat="1" ht="18.75" customHeight="1">
      <c r="B61" s="567" t="s">
        <v>1298</v>
      </c>
      <c r="C61" s="568">
        <f>+'Part V-Revenues &amp; Expenses'!L244</f>
        <v>27150</v>
      </c>
      <c r="D61" s="568"/>
      <c r="E61" s="568">
        <f>$C$61</f>
        <v>27150</v>
      </c>
      <c r="F61" s="568"/>
      <c r="G61" s="568">
        <f>$C$61*(1+H50)</f>
        <v>28507.5</v>
      </c>
      <c r="H61" s="570"/>
      <c r="I61" s="568">
        <f>$C$61</f>
        <v>27150</v>
      </c>
      <c r="J61" s="568"/>
      <c r="K61" s="568">
        <f>$C$61*(1+$L$61)</f>
        <v>28507.5</v>
      </c>
      <c r="L61" s="571">
        <v>0.05</v>
      </c>
      <c r="M61"/>
      <c r="N61"/>
    </row>
    <row r="62" spans="1:14" s="507" customFormat="1" ht="18.75" customHeight="1">
      <c r="B62" s="573" t="s">
        <v>2693</v>
      </c>
      <c r="C62" s="574">
        <f>SUM(C58:C61)</f>
        <v>43150</v>
      </c>
      <c r="D62" s="568"/>
      <c r="E62" s="574">
        <f>SUM(E58:E61)</f>
        <v>43150</v>
      </c>
      <c r="F62" s="568"/>
      <c r="G62" s="574">
        <f>SUM(G58:G61)</f>
        <v>44507.5</v>
      </c>
      <c r="H62" s="568"/>
      <c r="I62" s="574">
        <f>SUM(I58:I61)</f>
        <v>43240</v>
      </c>
      <c r="J62" s="568"/>
      <c r="K62" s="574">
        <f>SUM(K58:K61)</f>
        <v>44797.5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223330.712</v>
      </c>
      <c r="D64" s="577"/>
      <c r="E64" s="577">
        <f>E56-E62</f>
        <v>214734.56000000003</v>
      </c>
      <c r="F64" s="577"/>
      <c r="G64" s="577">
        <f>G56-G62</f>
        <v>221973.212</v>
      </c>
      <c r="H64" s="577"/>
      <c r="I64" s="577">
        <f>I56-I62</f>
        <v>223240.712</v>
      </c>
      <c r="J64" s="577"/>
      <c r="K64" s="577">
        <f>K56-K62</f>
        <v>213087.06000000003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223330.712</v>
      </c>
      <c r="D70" s="577"/>
      <c r="E70" s="580">
        <f>E64-E66-E68</f>
        <v>214734.56000000003</v>
      </c>
      <c r="F70" s="577"/>
      <c r="G70" s="580">
        <f>G64-G66-G68</f>
        <v>221973.212</v>
      </c>
      <c r="H70" s="577"/>
      <c r="I70" s="580">
        <f>I64-I66-I68</f>
        <v>223240.712</v>
      </c>
      <c r="J70" s="577"/>
      <c r="K70" s="580">
        <f>K64-K66-K68</f>
        <v>213087.06000000003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4.5432901067710585</v>
      </c>
      <c r="D72" s="581"/>
      <c r="E72" s="1004">
        <f>-E70/E75</f>
        <v>4.3684157601657416</v>
      </c>
      <c r="F72" s="581"/>
      <c r="G72" s="1004">
        <f>-G70/G75</f>
        <v>4.5156740379164457</v>
      </c>
      <c r="H72" s="581"/>
      <c r="I72" s="1004">
        <f>-I70/I75</f>
        <v>4.5414592071784874</v>
      </c>
      <c r="J72" s="581"/>
      <c r="K72" s="1004">
        <f>-K70/K75</f>
        <v>4.3349001259572892</v>
      </c>
      <c r="L72" s="4"/>
      <c r="M72" s="10"/>
      <c r="N72" s="10"/>
    </row>
    <row r="73" spans="1:14" s="507" customFormat="1" ht="18.75" customHeight="1">
      <c r="A73"/>
      <c r="B73" s="567" t="s">
        <v>2699</v>
      </c>
      <c r="C73" s="1005">
        <f>C76/C62</f>
        <v>4.0364901123877148</v>
      </c>
      <c r="D73" s="582"/>
      <c r="E73" s="1005">
        <f>E76/E62</f>
        <v>3.8372745388071823</v>
      </c>
      <c r="F73" s="582"/>
      <c r="G73" s="1005">
        <f>G76/G62</f>
        <v>3.882874759299666</v>
      </c>
      <c r="H73" s="582"/>
      <c r="I73" s="1005">
        <f>I76/I62</f>
        <v>4.0260071311177121</v>
      </c>
      <c r="J73" s="582"/>
      <c r="K73" s="1005">
        <f>K76/K62</f>
        <v>3.6593759997662798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-49156.163650470116</v>
      </c>
      <c r="D75" s="568"/>
      <c r="E75" s="568">
        <f>$C$75</f>
        <v>-49156.163650470116</v>
      </c>
      <c r="F75" s="568"/>
      <c r="G75" s="568">
        <f>$C$75</f>
        <v>-49156.163650470116</v>
      </c>
      <c r="H75" s="568"/>
      <c r="I75" s="568">
        <f>$C$75</f>
        <v>-49156.163650470116</v>
      </c>
      <c r="J75" s="568"/>
      <c r="K75" s="568">
        <f>$C$75</f>
        <v>-49156.163650470116</v>
      </c>
      <c r="L75" s="26"/>
      <c r="M75"/>
      <c r="N75"/>
    </row>
    <row r="76" spans="1:14" s="507" customFormat="1" ht="18.75" customHeight="1">
      <c r="A76"/>
      <c r="B76" s="567" t="s">
        <v>1096</v>
      </c>
      <c r="C76" s="568">
        <f>C70+C75</f>
        <v>174174.54834952988</v>
      </c>
      <c r="D76" s="568"/>
      <c r="E76" s="568">
        <f>E70+E75</f>
        <v>165578.39634952991</v>
      </c>
      <c r="F76" s="568"/>
      <c r="G76" s="568">
        <f>G70+G75</f>
        <v>172817.04834952988</v>
      </c>
      <c r="H76" s="568"/>
      <c r="I76" s="568">
        <f>I70+I75</f>
        <v>174084.54834952988</v>
      </c>
      <c r="J76" s="568"/>
      <c r="K76" s="568">
        <f>K70+K75</f>
        <v>163930.89634952991</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5625" defaultRowHeight="13.5"/>
  <cols>
    <col min="1" max="1" width="9.265625" style="516"/>
    <col min="2" max="2" width="7.73046875" style="516" customWidth="1"/>
    <col min="3" max="3" width="14.73046875" style="516" customWidth="1"/>
    <col min="4" max="4" width="20.265625" style="516" customWidth="1"/>
    <col min="5" max="5" width="8" style="516" customWidth="1"/>
    <col min="6" max="6" width="5.265625" style="516" customWidth="1"/>
    <col min="7" max="7" width="5.3984375" style="516" customWidth="1"/>
    <col min="8" max="8" width="8.59765625" style="516" customWidth="1"/>
    <col min="9" max="9" width="28.59765625" style="516" customWidth="1"/>
    <col min="10" max="10" width="4.265625" style="516" hidden="1" customWidth="1"/>
    <col min="11" max="11" width="9.265625" style="516"/>
    <col min="12" max="12" width="16.265625" style="516" customWidth="1"/>
    <col min="13" max="13" width="11.265625" style="516" customWidth="1"/>
    <col min="14" max="14" width="10.73046875" style="516" bestFit="1" customWidth="1"/>
    <col min="15" max="15" width="28.59765625" style="516" customWidth="1"/>
    <col min="16" max="16384" width="9.265625" style="516"/>
  </cols>
  <sheetData>
    <row r="2" spans="1:10" ht="13.9">
      <c r="A2" s="513" t="s">
        <v>2594</v>
      </c>
      <c r="B2" s="514"/>
      <c r="C2" s="514"/>
      <c r="D2" s="514"/>
      <c r="E2" s="515"/>
      <c r="F2" s="514"/>
      <c r="G2" s="514"/>
      <c r="H2" s="514"/>
      <c r="I2" s="514"/>
      <c r="J2" s="514"/>
    </row>
    <row r="3" spans="1:10" ht="13.9">
      <c r="A3" s="517"/>
    </row>
    <row r="4" spans="1:10" ht="13.9">
      <c r="A4" s="517" t="s">
        <v>2595</v>
      </c>
      <c r="D4" s="516" t="s">
        <v>2596</v>
      </c>
    </row>
    <row r="5" spans="1:10" ht="13.9">
      <c r="A5" s="517"/>
    </row>
    <row r="6" spans="1:10" ht="13.9">
      <c r="A6" s="517" t="s">
        <v>2597</v>
      </c>
      <c r="D6" s="516" t="s">
        <v>2598</v>
      </c>
    </row>
    <row r="7" spans="1:10" ht="13.9">
      <c r="A7" s="517"/>
    </row>
    <row r="8" spans="1:10" ht="13.9">
      <c r="A8" s="517" t="s">
        <v>2599</v>
      </c>
      <c r="D8" s="518" t="s">
        <v>2600</v>
      </c>
    </row>
    <row r="9" spans="1:10" ht="13.9">
      <c r="A9" s="517"/>
    </row>
    <row r="10" spans="1:10" ht="13.9">
      <c r="A10" s="517" t="s">
        <v>2601</v>
      </c>
      <c r="D10" s="518" t="s">
        <v>2602</v>
      </c>
    </row>
    <row r="11" spans="1:10" ht="13.9">
      <c r="A11" s="517"/>
      <c r="D11" s="1024"/>
    </row>
    <row r="12" spans="1:10" ht="13.9">
      <c r="A12" s="517" t="s">
        <v>2603</v>
      </c>
      <c r="D12" s="516" t="s">
        <v>574</v>
      </c>
      <c r="F12" s="1024" t="str">
        <f>'Sensitivity Analysis'!$C$8</f>
        <v>Dogwood Trail Apartments II</v>
      </c>
    </row>
    <row r="13" spans="1:10" ht="13.9">
      <c r="A13" s="517"/>
      <c r="D13" s="516" t="s">
        <v>2604</v>
      </c>
      <c r="F13" s="1024" t="str">
        <f>'Sensitivity Analysis'!E8</f>
        <v>2023-0</v>
      </c>
    </row>
    <row r="14" spans="1:10" ht="13.9">
      <c r="A14" s="517"/>
      <c r="D14" s="516" t="s">
        <v>2605</v>
      </c>
      <c r="F14" s="1024" t="str">
        <f>'Sensitivity Analysis'!H8</f>
        <v>Albany, Dougherty</v>
      </c>
    </row>
    <row r="15" spans="1:10" ht="13.9">
      <c r="A15" s="517"/>
      <c r="D15" s="516" t="s">
        <v>2946</v>
      </c>
      <c r="F15" s="4757">
        <f>'Sensitivity Analysis'!$C$25</f>
        <v>641200</v>
      </c>
      <c r="G15" s="4757"/>
      <c r="H15" s="4757"/>
    </row>
    <row r="16" spans="1:10" ht="13.9">
      <c r="A16" s="517"/>
      <c r="D16" s="519" t="s">
        <v>2606</v>
      </c>
      <c r="F16" s="520">
        <f>'Sensitivity Analysis'!C13</f>
        <v>40</v>
      </c>
      <c r="G16" s="521" t="s">
        <v>2947</v>
      </c>
      <c r="H16" s="972">
        <f>'Sensitivity Analysis'!E13</f>
        <v>40</v>
      </c>
    </row>
    <row r="17" spans="1:18" ht="13.9">
      <c r="A17" s="517"/>
      <c r="D17" s="519" t="s">
        <v>2575</v>
      </c>
      <c r="F17" s="520" t="str">
        <f>'Sensitivity Analysis'!C14</f>
        <v>&lt;&lt; Select PROPOSED Tenancy &gt;&gt;</v>
      </c>
    </row>
    <row r="18" spans="1:18" ht="13.9">
      <c r="A18" s="517"/>
      <c r="D18" s="519" t="s">
        <v>2951</v>
      </c>
      <c r="F18" s="1024" t="str">
        <f>'Sensitivity Analysis'!H15</f>
        <v>Urban</v>
      </c>
    </row>
    <row r="19" spans="1:18" ht="13.9">
      <c r="A19" s="517"/>
      <c r="D19" s="519" t="s">
        <v>2948</v>
      </c>
      <c r="F19" s="1024">
        <f>'Sensitivity Analysis'!E16</f>
        <v>0</v>
      </c>
    </row>
    <row r="20" spans="1:18" ht="13.9">
      <c r="A20" s="517"/>
      <c r="D20" s="519"/>
    </row>
    <row r="21" spans="1:18" ht="13.9">
      <c r="A21" s="522" t="s">
        <v>6154</v>
      </c>
    </row>
    <row r="22" spans="1:18" ht="111.75" customHeight="1">
      <c r="A22" s="4749" t="s">
        <v>3098</v>
      </c>
      <c r="B22" s="4749"/>
      <c r="C22" s="4749"/>
      <c r="D22" s="4749"/>
      <c r="E22" s="4749"/>
      <c r="F22" s="4749"/>
      <c r="G22" s="4749"/>
      <c r="H22" s="4749"/>
      <c r="I22" s="4749"/>
      <c r="J22" s="4749"/>
      <c r="K22" s="4748" t="s">
        <v>3897</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3.9">
      <c r="A26" s="522" t="s">
        <v>6153</v>
      </c>
    </row>
    <row r="27" spans="1:18" ht="14.25" customHeight="1">
      <c r="A27" s="4751" t="s">
        <v>6155</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6156</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3.9">
      <c r="A46" s="522" t="s">
        <v>2607</v>
      </c>
    </row>
    <row r="47" spans="1:10" ht="135" customHeight="1">
      <c r="A47" s="4735" t="s">
        <v>6157</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3.9">
      <c r="A49" s="522" t="s">
        <v>2608</v>
      </c>
    </row>
    <row r="50" spans="1:12" ht="33" customHeight="1">
      <c r="A50" s="4731" t="s">
        <v>3452</v>
      </c>
      <c r="B50" s="4733"/>
      <c r="C50" s="4733"/>
      <c r="D50" s="4733"/>
      <c r="E50" s="4733"/>
      <c r="F50" s="4733"/>
      <c r="G50" s="4733"/>
      <c r="H50" s="4733"/>
      <c r="I50" s="4733"/>
      <c r="J50" s="4731"/>
    </row>
    <row r="51" spans="1:12" ht="3" customHeight="1"/>
    <row r="52" spans="1:12" ht="72.75" customHeight="1">
      <c r="A52" s="4731" t="s">
        <v>3453</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3454</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3455</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3456</v>
      </c>
      <c r="B60" s="4731"/>
      <c r="C60" s="4731"/>
      <c r="D60" s="4731"/>
      <c r="E60" s="4731"/>
      <c r="F60" s="4731"/>
      <c r="G60" s="4731"/>
      <c r="H60" s="4731"/>
      <c r="I60" s="4731"/>
      <c r="J60" s="4731"/>
    </row>
    <row r="61" spans="1:12" ht="3" customHeight="1"/>
    <row r="62" spans="1:12" ht="73.5" customHeight="1">
      <c r="A62" s="4731" t="s">
        <v>3457</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3.9">
      <c r="A64" s="522" t="s">
        <v>2609</v>
      </c>
      <c r="L64" s="523" t="s">
        <v>3090</v>
      </c>
    </row>
    <row r="65" spans="1:17" ht="46.5" customHeight="1">
      <c r="A65" s="4749" t="s">
        <v>2610</v>
      </c>
      <c r="B65" s="4749"/>
      <c r="C65" s="4749"/>
      <c r="D65" s="4749"/>
      <c r="E65" s="4749"/>
      <c r="F65" s="4749"/>
      <c r="G65" s="4749"/>
      <c r="H65" s="4749"/>
      <c r="I65" s="4749"/>
      <c r="J65" s="4749"/>
      <c r="L65" s="524">
        <f>'Closing term sheet'!C135</f>
        <v>548923.5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6566461 via the syndication of the 2021 Federal LIHTC allocation of 799212 per annum. will make a capital contribution totaling 4222236 via the syndication of the 2021 State LIHTC allocation of 799212 per annum.</v>
      </c>
      <c r="B67" s="4731"/>
      <c r="C67" s="4731"/>
      <c r="D67" s="4731"/>
      <c r="E67" s="4731"/>
      <c r="F67" s="4731"/>
      <c r="G67" s="4731"/>
      <c r="H67" s="4731"/>
      <c r="I67" s="4731"/>
      <c r="J67" s="529"/>
      <c r="L67" s="530">
        <f>'Part II-Sources of Funds'!I51</f>
        <v>6566461</v>
      </c>
      <c r="M67" s="531">
        <f>'Part III-A-Uses of Funds'!$J$191</f>
        <v>799212</v>
      </c>
      <c r="N67" s="532">
        <f>'Part III-A-Uses of Funds'!N182</f>
        <v>0.83</v>
      </c>
      <c r="O67" s="530">
        <f>'Part II-Sources of Funds'!I52</f>
        <v>4222236</v>
      </c>
      <c r="P67" s="531">
        <f>M67</f>
        <v>799212</v>
      </c>
      <c r="Q67" s="532">
        <f>'Part III-A-Uses of Funds'!Q182</f>
        <v>0.52</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(0.83 Federal tax credit and 0.52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6158</v>
      </c>
      <c r="B70" s="4731"/>
      <c r="C70" s="4731"/>
      <c r="D70" s="4731"/>
      <c r="E70" s="4731"/>
      <c r="F70" s="4731"/>
      <c r="G70" s="4731"/>
      <c r="H70" s="4731"/>
      <c r="I70" s="4731"/>
      <c r="J70" s="4731"/>
      <c r="L70" s="534">
        <f>'Part VI-Pro Forma'!K72</f>
        <v>619310.55203578167</v>
      </c>
      <c r="M70" s="4756" t="s">
        <v>3097</v>
      </c>
      <c r="N70" s="4748"/>
    </row>
    <row r="71" spans="1:17" ht="6" customHeight="1">
      <c r="A71" s="522"/>
    </row>
    <row r="72" spans="1:17" ht="13.9">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3.9">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3.9">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3659</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6159</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3.9">
      <c r="A88" s="522" t="s">
        <v>2621</v>
      </c>
    </row>
    <row r="89" spans="1:15" ht="124.15"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3.9">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ht="13.9">
      <c r="A99" s="522" t="s">
        <v>2632</v>
      </c>
    </row>
    <row r="100" spans="1:14" ht="110.65" customHeight="1">
      <c r="A100" s="4749" t="s">
        <v>2633</v>
      </c>
      <c r="B100" s="4749"/>
      <c r="C100" s="4749"/>
      <c r="D100" s="4749"/>
      <c r="E100" s="4749"/>
      <c r="F100" s="4749"/>
      <c r="G100" s="4749"/>
      <c r="H100" s="4749"/>
      <c r="I100" s="4749"/>
      <c r="J100" s="4749"/>
      <c r="L100" s="975">
        <f>'Part VI-Pro Forma'!K72</f>
        <v>619310.55203578167</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3.9">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3.9">
      <c r="A110" s="522" t="s">
        <v>2639</v>
      </c>
    </row>
    <row r="112" spans="1:14" ht="18" thickBot="1">
      <c r="A112" s="516" t="s">
        <v>2640</v>
      </c>
      <c r="G112" s="1490"/>
      <c r="H112" s="516" t="s">
        <v>2641</v>
      </c>
    </row>
    <row r="115" spans="1:10" ht="13.9" customHeight="1" thickBot="1">
      <c r="G115" s="1490"/>
      <c r="H115" s="516" t="s">
        <v>2642</v>
      </c>
    </row>
    <row r="116" spans="1:10">
      <c r="A116" s="516" t="s">
        <v>2643</v>
      </c>
    </row>
    <row r="119" spans="1:10" ht="13.9" thickBot="1">
      <c r="A119" s="539"/>
      <c r="B119" s="539"/>
      <c r="C119" s="539"/>
      <c r="D119" s="539"/>
      <c r="F119" s="539"/>
      <c r="G119" s="539"/>
      <c r="H119" s="539"/>
      <c r="I119" s="539"/>
      <c r="J119" s="539"/>
    </row>
    <row r="120" spans="1:10">
      <c r="A120" s="4758" t="s">
        <v>6064</v>
      </c>
      <c r="B120" s="4758"/>
      <c r="C120" s="4758"/>
      <c r="D120" s="4758"/>
      <c r="E120" s="4759"/>
      <c r="F120" s="1488" t="s">
        <v>6065</v>
      </c>
      <c r="G120" s="1488"/>
      <c r="H120" s="1488"/>
      <c r="I120" s="1488"/>
      <c r="J120" s="1488"/>
    </row>
    <row r="122" spans="1:10" ht="13.9"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5625" defaultRowHeight="12.75"/>
  <cols>
    <col min="1" max="1" width="16.73046875" customWidth="1"/>
    <col min="2" max="3" width="26.265625" customWidth="1"/>
    <col min="4" max="4" width="9.3984375" customWidth="1"/>
    <col min="5" max="5" width="25.59765625" customWidth="1"/>
    <col min="6" max="6" width="8.59765625" customWidth="1"/>
    <col min="7" max="7" width="21.73046875" customWidth="1"/>
    <col min="8" max="8" width="6.59765625" customWidth="1"/>
    <col min="9" max="9" width="19.265625" customWidth="1"/>
    <col min="10" max="10" width="6.59765625" customWidth="1"/>
    <col min="11" max="11" width="18.73046875" customWidth="1"/>
    <col min="12" max="12" width="7.59765625" customWidth="1"/>
    <col min="13" max="17" width="10.73046875" customWidth="1"/>
  </cols>
  <sheetData>
    <row r="1" spans="1:14" s="10" customFormat="1" ht="17.649999999999999">
      <c r="A1" s="966" t="s">
        <v>2645</v>
      </c>
      <c r="B1" s="550"/>
      <c r="C1" s="550"/>
      <c r="D1" s="550"/>
      <c r="E1" s="550"/>
      <c r="F1" s="550"/>
      <c r="G1" s="550"/>
      <c r="H1" s="550"/>
      <c r="I1" s="550"/>
      <c r="J1" s="550"/>
      <c r="K1" s="550"/>
      <c r="L1" s="510"/>
      <c r="M1" s="510"/>
    </row>
    <row r="2" spans="1:14" s="10" customFormat="1" ht="17.649999999999999">
      <c r="A2" s="966" t="str">
        <f>+"Financial Analysis for:  "&amp;E8&amp;"  "&amp;C8</f>
        <v>Financial Analysis for:  2023-0  Dogwood Trail Apartments II</v>
      </c>
      <c r="B2" s="550"/>
      <c r="C2" s="550"/>
      <c r="D2" s="550"/>
      <c r="E2" s="550"/>
      <c r="F2" s="550"/>
      <c r="G2" s="550"/>
      <c r="H2" s="550"/>
      <c r="I2" s="550"/>
      <c r="J2" s="550"/>
      <c r="K2" s="550"/>
      <c r="L2" s="510"/>
      <c r="M2" s="510"/>
    </row>
    <row r="5" spans="1:14" ht="15">
      <c r="A5" s="541"/>
      <c r="B5" s="542"/>
      <c r="C5" s="543"/>
      <c r="D5" s="542"/>
      <c r="E5" s="542"/>
      <c r="F5" s="541"/>
      <c r="G5" s="542"/>
      <c r="H5" s="543"/>
      <c r="I5" s="542"/>
      <c r="J5" s="542"/>
      <c r="K5" s="542"/>
      <c r="L5" s="542"/>
      <c r="M5" s="507"/>
    </row>
    <row r="7" spans="1:14" ht="1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
      <c r="A8" s="510" t="s">
        <v>2647</v>
      </c>
      <c r="B8" s="510"/>
      <c r="C8" s="4763" t="str">
        <f>'Part I-Project Identification'!F25</f>
        <v>Dogwood Trail Apartments II</v>
      </c>
      <c r="D8" s="4763"/>
      <c r="E8" s="1020" t="str">
        <f>'Part I-Project Identification'!O7</f>
        <v>2023-0</v>
      </c>
      <c r="F8" s="510" t="s">
        <v>2648</v>
      </c>
      <c r="G8" s="507"/>
      <c r="H8" s="4763" t="str">
        <f>CONCATENATE('Part I-Project Identification'!F26,", ",'Part I-Project Identification'!J26)</f>
        <v>Albany, Dougherty</v>
      </c>
      <c r="I8" s="4763"/>
      <c r="J8" s="4763"/>
      <c r="K8" s="4763"/>
      <c r="L8" s="507"/>
      <c r="M8" s="545"/>
    </row>
    <row r="9" spans="1:14" ht="1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
      <c r="A10" s="510" t="s">
        <v>2653</v>
      </c>
      <c r="B10" s="507"/>
      <c r="C10" s="1020">
        <f>'Part II-Development Team'!H15</f>
        <v>0</v>
      </c>
      <c r="D10" s="507"/>
      <c r="E10" s="507"/>
      <c r="F10" s="510" t="s">
        <v>3131</v>
      </c>
      <c r="G10" s="507"/>
      <c r="H10" s="4763">
        <f>'Part II-Development Team'!H34</f>
        <v>0</v>
      </c>
      <c r="I10" s="4763"/>
      <c r="J10" s="4763"/>
      <c r="K10" s="4763">
        <f>'Part II-Development Team'!H40</f>
        <v>0</v>
      </c>
      <c r="L10" s="4763"/>
    </row>
    <row r="11" spans="1:14" ht="1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
      <c r="A13" s="510" t="s">
        <v>2657</v>
      </c>
      <c r="B13" s="510"/>
      <c r="C13" s="506">
        <f>'Part V-Revenues &amp; Expenses'!$P$67</f>
        <v>40</v>
      </c>
      <c r="E13" s="970">
        <f>'Part V-Revenues &amp; Expenses'!$P$63</f>
        <v>40</v>
      </c>
      <c r="F13" s="510" t="s">
        <v>3451</v>
      </c>
      <c r="G13" s="507"/>
      <c r="H13" s="1021" t="e">
        <f>'Part I-Project Identification'!#REF!</f>
        <v>#REF!</v>
      </c>
      <c r="I13" s="971"/>
      <c r="J13" s="971"/>
      <c r="K13" s="1021">
        <f>'Part V-Revenues &amp; Expenses'!K175</f>
        <v>56086</v>
      </c>
      <c r="L13" s="507"/>
      <c r="M13" s="507"/>
    </row>
    <row r="14" spans="1:14" ht="15">
      <c r="A14" s="510" t="s">
        <v>2949</v>
      </c>
      <c r="B14" s="507"/>
      <c r="C14" s="1021" t="e">
        <f>'Part I-Project Identification'!#REF!</f>
        <v>#REF!</v>
      </c>
      <c r="D14" s="4763" t="e">
        <f>IF('Part V-Revenues &amp; Expenses'!#REF!=0,"",'Part V-Revenues &amp; Expenses'!#REF!)</f>
        <v>#REF!</v>
      </c>
      <c r="E14" s="4763"/>
      <c r="F14" s="510" t="s">
        <v>2658</v>
      </c>
      <c r="G14" s="507"/>
      <c r="H14" s="4743" t="s">
        <v>3099</v>
      </c>
      <c r="I14" s="4743"/>
      <c r="J14" s="4743"/>
      <c r="K14" s="4743" t="s">
        <v>3099</v>
      </c>
      <c r="L14" s="4743"/>
      <c r="M14" s="507"/>
    </row>
    <row r="15" spans="1:14" ht="15">
      <c r="A15" s="510" t="s">
        <v>2659</v>
      </c>
      <c r="B15" s="507"/>
      <c r="C15" s="546" t="s">
        <v>1646</v>
      </c>
      <c r="D15" s="507"/>
      <c r="E15" s="507"/>
      <c r="F15" s="510" t="s">
        <v>2950</v>
      </c>
      <c r="G15" s="507"/>
      <c r="H15" s="1020" t="str">
        <f>'Part I-Project Identification'!K28</f>
        <v>Urban</v>
      </c>
      <c r="I15" s="507"/>
      <c r="J15" s="507"/>
      <c r="K15" s="507"/>
      <c r="L15" s="507"/>
      <c r="M15" s="507"/>
    </row>
    <row r="16" spans="1:14" ht="1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
      <c r="A18" s="510" t="s">
        <v>2952</v>
      </c>
      <c r="B18" s="507"/>
      <c r="C18" s="1023">
        <f>'Part III-A-Uses of Funds'!G146</f>
        <v>11432050</v>
      </c>
      <c r="D18" s="1003">
        <f>IF(C18=0,"",$C$29/C18)</f>
        <v>5.6087928236842909E-2</v>
      </c>
      <c r="E18" s="507" t="s">
        <v>2953</v>
      </c>
      <c r="F18" s="510" t="s">
        <v>2954</v>
      </c>
      <c r="G18" s="507"/>
      <c r="H18" s="4764">
        <f>'Part III-A-Uses of Funds'!C49</f>
        <v>8162400</v>
      </c>
      <c r="I18" s="4764"/>
      <c r="J18" s="1002">
        <f>IF(H18=0,"",$C$29/H18)</f>
        <v>7.8555326864647654E-2</v>
      </c>
      <c r="K18" s="4763" t="s">
        <v>2955</v>
      </c>
      <c r="L18" s="4763"/>
      <c r="M18" s="507"/>
    </row>
    <row r="19" spans="1:13" ht="15">
      <c r="A19" s="510" t="s">
        <v>2660</v>
      </c>
      <c r="B19" s="507"/>
      <c r="C19" s="1022">
        <f>C18/C13</f>
        <v>285801.25</v>
      </c>
      <c r="D19" s="507"/>
      <c r="E19" s="507"/>
      <c r="F19" s="510" t="s">
        <v>2660</v>
      </c>
      <c r="G19" s="507"/>
      <c r="H19" s="4765">
        <f>H18/C13</f>
        <v>204060</v>
      </c>
      <c r="I19" s="4765"/>
      <c r="J19" s="507"/>
      <c r="K19" s="507"/>
      <c r="L19" s="507"/>
      <c r="M19" s="507"/>
    </row>
    <row r="20" spans="1:13" ht="15">
      <c r="A20" s="510" t="s">
        <v>2661</v>
      </c>
      <c r="B20" s="507"/>
      <c r="C20" s="1020">
        <f>C18/K13</f>
        <v>203.83072424490959</v>
      </c>
      <c r="D20" s="548"/>
      <c r="E20" s="548"/>
      <c r="F20" s="510" t="s">
        <v>2661</v>
      </c>
      <c r="G20" s="507"/>
      <c r="H20" s="4763">
        <f>H18/K13</f>
        <v>145.53364475983312</v>
      </c>
      <c r="I20" s="4765"/>
      <c r="J20" s="507"/>
      <c r="K20" s="507"/>
      <c r="L20" s="507"/>
      <c r="M20" s="507"/>
    </row>
    <row r="21" spans="1:13" ht="1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
      <c r="A25" s="510" t="s">
        <v>2664</v>
      </c>
      <c r="B25" s="552" t="str">
        <f>'Part II-Sources of Funds'!E40</f>
        <v>Churchill Stateside Group</v>
      </c>
      <c r="C25" s="553">
        <f>'Part II-Sources of Funds'!I40</f>
        <v>641200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5.4" thickBot="1">
      <c r="A29" s="507"/>
      <c r="B29" s="556" t="s">
        <v>2669</v>
      </c>
      <c r="C29" s="557">
        <f>SUM(C25:C27)</f>
        <v>641200</v>
      </c>
      <c r="D29" s="507"/>
      <c r="E29" s="507"/>
      <c r="F29" s="507"/>
      <c r="G29" s="507" t="s">
        <v>2670</v>
      </c>
      <c r="H29" s="507"/>
      <c r="I29" s="507"/>
      <c r="K29" s="555" t="e">
        <f>C29/K28</f>
        <v>#DIV/0!</v>
      </c>
      <c r="L29" s="507"/>
      <c r="M29" s="507"/>
    </row>
    <row r="30" spans="1:13" ht="15.4" thickTop="1">
      <c r="A30" s="510" t="s">
        <v>2671</v>
      </c>
      <c r="B30" s="556"/>
      <c r="C30" s="558">
        <f>'Part II-Sources of Funds'!$I$51+'Part II-Sources of Funds'!$I$52</f>
        <v>10788697</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4">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4">
      <c r="A34" s="507"/>
      <c r="B34" s="556" t="s">
        <v>2675</v>
      </c>
      <c r="C34" s="558">
        <f>SUM(C31:C33)</f>
        <v>0</v>
      </c>
      <c r="D34" s="507"/>
      <c r="E34" s="507"/>
      <c r="F34" s="507"/>
      <c r="G34" s="507"/>
      <c r="H34" s="507"/>
      <c r="I34" s="507"/>
      <c r="K34" s="507"/>
      <c r="L34" s="507"/>
      <c r="M34" s="561"/>
    </row>
    <row r="35" spans="1:13" ht="15">
      <c r="A35" s="507"/>
      <c r="B35" s="556"/>
      <c r="C35" s="507"/>
      <c r="D35" s="507"/>
      <c r="E35" s="507"/>
      <c r="F35" s="507"/>
      <c r="G35" s="973" t="s">
        <v>2676</v>
      </c>
      <c r="H35" s="973"/>
      <c r="I35" s="973"/>
      <c r="K35" s="562" t="e">
        <f>(C36)/K25</f>
        <v>#DIV/0!</v>
      </c>
      <c r="L35" s="507"/>
      <c r="M35" s="507"/>
    </row>
    <row r="36" spans="1:13" ht="15">
      <c r="A36" s="507"/>
      <c r="B36" s="556" t="s">
        <v>2677</v>
      </c>
      <c r="C36" s="558">
        <f>C29+C34</f>
        <v>641200</v>
      </c>
      <c r="D36" s="507"/>
      <c r="E36" s="507"/>
      <c r="F36" s="507"/>
      <c r="G36" s="507"/>
      <c r="H36" s="507"/>
      <c r="I36" s="507"/>
      <c r="K36" s="507"/>
      <c r="L36" s="507"/>
      <c r="M36" s="507"/>
    </row>
    <row r="37" spans="1:13" ht="15.4">
      <c r="A37" s="507"/>
      <c r="B37" s="556"/>
      <c r="C37" s="559"/>
      <c r="D37" s="507"/>
      <c r="E37" s="507"/>
      <c r="F37" s="507"/>
      <c r="G37" s="973" t="s">
        <v>2678</v>
      </c>
      <c r="H37" s="973"/>
      <c r="I37" s="973"/>
      <c r="K37" s="974" t="e">
        <f>+(C36)/K32</f>
        <v>#DIV/0!</v>
      </c>
      <c r="L37" s="507"/>
      <c r="M37" s="561"/>
    </row>
    <row r="38" spans="1:13" ht="15.4">
      <c r="A38" s="507"/>
      <c r="B38" s="556" t="s">
        <v>2679</v>
      </c>
      <c r="C38" s="563">
        <f>C36/C18</f>
        <v>5.6087928236842909E-2</v>
      </c>
      <c r="D38" s="507"/>
      <c r="E38" s="507"/>
      <c r="F38" s="507"/>
      <c r="G38" s="507"/>
      <c r="H38" s="507"/>
      <c r="I38" s="507"/>
      <c r="K38" s="507"/>
      <c r="L38" s="507"/>
      <c r="M38" s="561"/>
    </row>
    <row r="39" spans="1:13" ht="15">
      <c r="A39" s="507"/>
      <c r="B39" s="556"/>
      <c r="C39" s="559"/>
      <c r="D39" s="507"/>
      <c r="E39" s="507"/>
      <c r="F39" s="507"/>
      <c r="G39" s="507"/>
      <c r="H39" s="507"/>
      <c r="I39" s="507"/>
      <c r="K39" s="507"/>
      <c r="L39" s="507"/>
      <c r="M39" s="507"/>
    </row>
    <row r="40" spans="1:13" ht="15">
      <c r="A40" s="507"/>
      <c r="B40" s="556" t="s">
        <v>2680</v>
      </c>
      <c r="C40" s="563">
        <f>C36/H18</f>
        <v>7.8555326864647654E-2</v>
      </c>
      <c r="D40" s="507"/>
      <c r="E40" s="507"/>
      <c r="F40" s="510"/>
      <c r="G40" s="510" t="s">
        <v>2681</v>
      </c>
      <c r="H40" s="507"/>
      <c r="I40" s="507"/>
      <c r="K40" s="555">
        <f>C30/C18</f>
        <v>0.94372374158615469</v>
      </c>
      <c r="L40" s="507"/>
      <c r="M40" s="507"/>
    </row>
    <row r="46" spans="1:13" ht="15">
      <c r="A46" s="550" t="s">
        <v>2682</v>
      </c>
      <c r="B46" s="540"/>
      <c r="C46" s="540"/>
      <c r="D46" s="540"/>
      <c r="E46" s="540"/>
      <c r="F46" s="540"/>
      <c r="G46" s="540"/>
      <c r="H46" s="540"/>
      <c r="I46" s="540"/>
      <c r="J46" s="540"/>
      <c r="K46" s="540"/>
      <c r="L46" s="540"/>
      <c r="M46" s="507"/>
    </row>
    <row r="47" spans="1:13" ht="15">
      <c r="A47" s="550" t="str">
        <f>C8</f>
        <v>Dogwood Trail Apartments II</v>
      </c>
      <c r="B47" s="540"/>
      <c r="C47" s="540"/>
      <c r="D47" s="540"/>
      <c r="E47" s="540"/>
      <c r="F47" s="540"/>
      <c r="G47" s="540"/>
      <c r="H47" s="540"/>
      <c r="I47" s="540"/>
      <c r="J47" s="540"/>
      <c r="K47" s="540"/>
      <c r="L47" s="540"/>
      <c r="M47" s="507"/>
    </row>
    <row r="50" spans="1:14" s="507" customFormat="1" ht="15.4">
      <c r="A50" s="510" t="s">
        <v>2683</v>
      </c>
      <c r="C50" s="561" t="s">
        <v>2684</v>
      </c>
      <c r="E50" s="564" t="s">
        <v>3100</v>
      </c>
      <c r="F50" s="565">
        <v>0.1</v>
      </c>
      <c r="G50" s="564" t="s">
        <v>3101</v>
      </c>
      <c r="H50" s="565">
        <v>0.05</v>
      </c>
      <c r="I50" s="564" t="s">
        <v>3102</v>
      </c>
      <c r="J50" s="565">
        <v>0.03</v>
      </c>
      <c r="K50" s="4746" t="s">
        <v>2685</v>
      </c>
      <c r="L50" s="4747"/>
      <c r="M50"/>
      <c r="N50"/>
    </row>
    <row r="51" spans="1:14" s="507" customFormat="1" ht="15.4">
      <c r="A51" s="510"/>
      <c r="C51" s="561"/>
      <c r="E51" s="561"/>
      <c r="F51" s="566"/>
      <c r="G51" s="561"/>
      <c r="H51" s="566"/>
      <c r="I51" s="561"/>
      <c r="J51" s="566"/>
      <c r="K51" s="561"/>
      <c r="M51"/>
      <c r="N51"/>
    </row>
    <row r="52" spans="1:14" s="507" customFormat="1" ht="18.75" customHeight="1">
      <c r="B52" s="567" t="s">
        <v>2686</v>
      </c>
      <c r="C52" s="568">
        <f>'Part VI-Pro Forma'!B15</f>
        <v>280920</v>
      </c>
      <c r="D52" s="568"/>
      <c r="E52" s="568">
        <f>$C$52</f>
        <v>280920</v>
      </c>
      <c r="F52" s="568"/>
      <c r="G52" s="568">
        <f>$C$52</f>
        <v>280920</v>
      </c>
      <c r="H52" s="568"/>
      <c r="I52" s="568">
        <f>$C$52</f>
        <v>280920</v>
      </c>
      <c r="J52" s="568"/>
      <c r="K52" s="568">
        <f>$C$52</f>
        <v>280920</v>
      </c>
      <c r="L52" s="569"/>
      <c r="M52"/>
      <c r="N52"/>
    </row>
    <row r="53" spans="1:14" s="507" customFormat="1" ht="18.75" customHeight="1">
      <c r="B53" s="567" t="s">
        <v>2689</v>
      </c>
      <c r="C53" s="568">
        <f>'Part VI-Pro Forma'!B16</f>
        <v>5618.4000000000005</v>
      </c>
      <c r="D53" s="568"/>
      <c r="E53" s="568">
        <f>$C$53</f>
        <v>5618.4000000000005</v>
      </c>
      <c r="F53" s="568"/>
      <c r="G53" s="568">
        <f>$C$53</f>
        <v>5618.4000000000005</v>
      </c>
      <c r="H53" s="568"/>
      <c r="I53" s="568">
        <f>$C$53</f>
        <v>5618.4000000000005</v>
      </c>
      <c r="J53" s="568"/>
      <c r="K53" s="568">
        <f>$C$53</f>
        <v>5618.4000000000005</v>
      </c>
      <c r="L53" s="569"/>
      <c r="M53"/>
      <c r="N53"/>
    </row>
    <row r="54" spans="1:14" s="507" customFormat="1" ht="18.75" customHeight="1">
      <c r="B54" s="567" t="s">
        <v>2687</v>
      </c>
      <c r="C54" s="568">
        <f>'Part VI-Pro Forma'!B17</f>
        <v>-20057.688000000002</v>
      </c>
      <c r="D54" s="568"/>
      <c r="E54" s="568">
        <f>-($C$52+E53)*F50</f>
        <v>-28653.840000000004</v>
      </c>
      <c r="F54" s="570"/>
      <c r="G54" s="568">
        <f>-($C$52+G53)*0.07</f>
        <v>-20057.688000000002</v>
      </c>
      <c r="H54" s="568"/>
      <c r="I54" s="568">
        <f>-($C$52+I53)*0.07</f>
        <v>-20057.688000000002</v>
      </c>
      <c r="J54" s="568"/>
      <c r="K54" s="568">
        <f>-($C$52+K53)*L54</f>
        <v>-28653.840000000004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266480.712</v>
      </c>
      <c r="D56" s="568"/>
      <c r="E56" s="574">
        <f>SUM(E52:E55)</f>
        <v>257884.56000000003</v>
      </c>
      <c r="F56" s="568"/>
      <c r="G56" s="574">
        <f>SUM(G52:G55)</f>
        <v>266480.712</v>
      </c>
      <c r="H56" s="568"/>
      <c r="I56" s="574">
        <f>SUM(I52:I55)</f>
        <v>266480.712</v>
      </c>
      <c r="J56" s="568"/>
      <c r="K56" s="574">
        <f>SUM(K52:K55)</f>
        <v>257884.56000000003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59720</v>
      </c>
      <c r="D58" s="568"/>
      <c r="E58" s="568">
        <f>$C$58</f>
        <v>59720</v>
      </c>
      <c r="F58" s="568"/>
      <c r="G58" s="568">
        <f>$C$58</f>
        <v>59720</v>
      </c>
      <c r="H58" s="568"/>
      <c r="I58" s="568">
        <f>$C$58</f>
        <v>59720</v>
      </c>
      <c r="J58" s="568"/>
      <c r="K58" s="568">
        <f>$C$58</f>
        <v>59720</v>
      </c>
      <c r="L58" s="569"/>
      <c r="M58"/>
      <c r="N58"/>
    </row>
    <row r="59" spans="1:14" s="507" customFormat="1" ht="18.75" customHeight="1">
      <c r="B59" s="567" t="s">
        <v>2692</v>
      </c>
      <c r="C59" s="568">
        <f>+'Part V-Revenues &amp; Expenses'!F247</f>
        <v>29890</v>
      </c>
      <c r="D59" s="568"/>
      <c r="E59" s="568">
        <f>$C$59</f>
        <v>29890</v>
      </c>
      <c r="F59" s="568"/>
      <c r="G59" s="568">
        <f>$C$59</f>
        <v>29890</v>
      </c>
      <c r="H59" s="568"/>
      <c r="I59" s="568">
        <f>$C$59</f>
        <v>29890</v>
      </c>
      <c r="J59" s="568"/>
      <c r="K59" s="568">
        <f>$C$59*(1+$L$59)</f>
        <v>31085.600000000002</v>
      </c>
      <c r="L59" s="575">
        <v>0.04</v>
      </c>
      <c r="M59"/>
      <c r="N59"/>
    </row>
    <row r="60" spans="1:14" s="507" customFormat="1" ht="18.75" customHeight="1">
      <c r="B60" s="567" t="s">
        <v>1297</v>
      </c>
      <c r="C60" s="568">
        <f>+'Part V-Revenues &amp; Expenses'!L241</f>
        <v>15800</v>
      </c>
      <c r="D60" s="568"/>
      <c r="E60" s="568">
        <f>$C$60</f>
        <v>15800</v>
      </c>
      <c r="F60" s="568"/>
      <c r="G60" s="568">
        <f>$C$60</f>
        <v>15800</v>
      </c>
      <c r="H60" s="568"/>
      <c r="I60" s="568">
        <f>$C$60*(1+$J$50)</f>
        <v>16274</v>
      </c>
      <c r="J60" s="570"/>
      <c r="K60" s="568">
        <f>$C$60*(1+$J$50)</f>
        <v>16274</v>
      </c>
      <c r="L60" s="571">
        <v>0.03</v>
      </c>
      <c r="M60"/>
      <c r="N60"/>
    </row>
    <row r="61" spans="1:14" s="507" customFormat="1" ht="18.75" customHeight="1">
      <c r="B61" s="567" t="s">
        <v>1298</v>
      </c>
      <c r="C61" s="568">
        <f>+'Part V-Revenues &amp; Expenses'!L247</f>
        <v>57150</v>
      </c>
      <c r="D61" s="568"/>
      <c r="E61" s="568">
        <f>$C$61</f>
        <v>57150</v>
      </c>
      <c r="F61" s="568"/>
      <c r="G61" s="568">
        <f>$C$61*(1+H50)</f>
        <v>60007.5</v>
      </c>
      <c r="H61" s="570"/>
      <c r="I61" s="568">
        <f>$C$61</f>
        <v>57150</v>
      </c>
      <c r="J61" s="568"/>
      <c r="K61" s="568">
        <f>$C$61*(1+$L$61)</f>
        <v>60007.5</v>
      </c>
      <c r="L61" s="571">
        <v>0.05</v>
      </c>
      <c r="M61"/>
      <c r="N61"/>
    </row>
    <row r="62" spans="1:14" s="507" customFormat="1" ht="18.75" customHeight="1">
      <c r="B62" s="573" t="s">
        <v>2693</v>
      </c>
      <c r="C62" s="574">
        <f>SUM(C58:C61)</f>
        <v>162560</v>
      </c>
      <c r="D62" s="568"/>
      <c r="E62" s="574">
        <f>SUM(E58:E61)</f>
        <v>162560</v>
      </c>
      <c r="F62" s="568"/>
      <c r="G62" s="574">
        <f>SUM(G58:G61)</f>
        <v>165417.5</v>
      </c>
      <c r="H62" s="568"/>
      <c r="I62" s="574">
        <f>SUM(I58:I61)</f>
        <v>163034</v>
      </c>
      <c r="J62" s="568"/>
      <c r="K62" s="574">
        <f>SUM(K58:K61)</f>
        <v>167087.1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
      <c r="A64"/>
      <c r="B64" s="576" t="s">
        <v>2694</v>
      </c>
      <c r="C64" s="577">
        <f>C56-C62</f>
        <v>103920.712</v>
      </c>
      <c r="D64" s="577"/>
      <c r="E64" s="577">
        <f>E56-E62</f>
        <v>95324.560000000027</v>
      </c>
      <c r="F64" s="577"/>
      <c r="G64" s="577">
        <f>G56-G62</f>
        <v>101063.212</v>
      </c>
      <c r="H64" s="577"/>
      <c r="I64" s="577">
        <f>I56-I62</f>
        <v>103446.712</v>
      </c>
      <c r="J64" s="577"/>
      <c r="K64" s="577">
        <f>K56-K62</f>
        <v>90797.460000000021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10000</v>
      </c>
      <c r="D66" s="568"/>
      <c r="E66" s="568">
        <f>$C$66</f>
        <v>10000</v>
      </c>
      <c r="F66" s="568"/>
      <c r="G66" s="568">
        <f>$C$66</f>
        <v>10000</v>
      </c>
      <c r="H66" s="568"/>
      <c r="I66" s="568">
        <f>$C$66</f>
        <v>10000</v>
      </c>
      <c r="J66" s="568"/>
      <c r="K66" s="568">
        <f>$C$66</f>
        <v>10000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18654</v>
      </c>
      <c r="D68" s="568"/>
      <c r="E68" s="568">
        <f>$C$68</f>
        <v>18654</v>
      </c>
      <c r="F68" s="568"/>
      <c r="G68" s="568">
        <f>$C$68</f>
        <v>18654</v>
      </c>
      <c r="H68" s="568"/>
      <c r="I68" s="568">
        <f>$C$68</f>
        <v>18654</v>
      </c>
      <c r="J68" s="568"/>
      <c r="K68" s="568">
        <f>$C$68</f>
        <v>18654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
      <c r="A70"/>
      <c r="B70" s="579" t="s">
        <v>2697</v>
      </c>
      <c r="C70" s="580">
        <f>C64-C66-C68</f>
        <v>75266.712</v>
      </c>
      <c r="D70" s="577"/>
      <c r="E70" s="580">
        <f>E64-E66-E68</f>
        <v>66670.560000000027</v>
      </c>
      <c r="F70" s="577"/>
      <c r="G70" s="580">
        <f>G64-G66-G68</f>
        <v>72409.212</v>
      </c>
      <c r="H70" s="577"/>
      <c r="I70" s="580">
        <f>I64-I66-I68</f>
        <v>74792.712</v>
      </c>
      <c r="J70" s="577"/>
      <c r="K70" s="580">
        <f>K64-K66-K68</f>
        <v>62143.460000000021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1.5311754703884457</v>
      </c>
      <c r="D72" s="581"/>
      <c r="E72" s="1004">
        <f>-E70/E75</f>
        <v>1.3563011237831293</v>
      </c>
      <c r="F72" s="581"/>
      <c r="G72" s="1004">
        <f>-G70/G75</f>
        <v>1.4730444083243159</v>
      </c>
      <c r="H72" s="581"/>
      <c r="I72" s="1004">
        <f>-I70/I75</f>
        <v>1.5215327325342385</v>
      </c>
      <c r="J72" s="581"/>
      <c r="K72" s="1004">
        <f>-K70/K75</f>
        <v>1.2642048399439263</v>
      </c>
      <c r="L72" s="4"/>
      <c r="M72" s="10"/>
      <c r="N72" s="10"/>
    </row>
    <row r="73" spans="1:14" s="507" customFormat="1" ht="18.75" customHeight="1">
      <c r="A73"/>
      <c r="B73" s="567" t="s">
        <v>2699</v>
      </c>
      <c r="C73" s="1005">
        <f>C76/C62</f>
        <v>0.16062099132338756</v>
      </c>
      <c r="D73" s="582"/>
      <c r="E73" s="1005">
        <f>E76/E62</f>
        <v>0.10774111927614365</v>
      </c>
      <c r="F73" s="582"/>
      <c r="G73" s="1005">
        <f>G76/G62</f>
        <v>0.14057187631012369</v>
      </c>
      <c r="H73" s="582"/>
      <c r="I73" s="1005">
        <f>I76/I62</f>
        <v>0.15724663781499493</v>
      </c>
      <c r="J73" s="582"/>
      <c r="K73" s="1005">
        <f>K76/K62</f>
        <v>7.7727702195620751E-2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-49156.163650470116</v>
      </c>
      <c r="D75" s="568"/>
      <c r="E75" s="568">
        <f>$C$75</f>
        <v>-49156.163650470116</v>
      </c>
      <c r="F75" s="568"/>
      <c r="G75" s="568">
        <f>$C$75</f>
        <v>-49156.163650470116</v>
      </c>
      <c r="H75" s="568"/>
      <c r="I75" s="568">
        <f>$C$75</f>
        <v>-49156.163650470116</v>
      </c>
      <c r="J75" s="568"/>
      <c r="K75" s="568">
        <f>$C$75</f>
        <v>-49156.163650470116</v>
      </c>
      <c r="L75" s="26"/>
      <c r="M75"/>
      <c r="N75"/>
    </row>
    <row r="76" spans="1:14" s="507" customFormat="1" ht="18.75" customHeight="1">
      <c r="A76"/>
      <c r="B76" s="567" t="s">
        <v>1096</v>
      </c>
      <c r="C76" s="568">
        <f>C70+C75</f>
        <v>26110.548349529883</v>
      </c>
      <c r="D76" s="568"/>
      <c r="E76" s="568">
        <f>E70+E75</f>
        <v>17514.39634952991</v>
      </c>
      <c r="F76" s="568"/>
      <c r="G76" s="568">
        <f>G70+G75</f>
        <v>23253.048349529883</v>
      </c>
      <c r="H76" s="568"/>
      <c r="I76" s="568">
        <f>I70+I75</f>
        <v>25636.548349529883</v>
      </c>
      <c r="J76" s="568"/>
      <c r="K76" s="568">
        <f>K70+K75</f>
        <v>12987.296349529905</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4"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4"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5625" defaultRowHeight="12.75"/>
  <cols>
    <col min="1" max="1" width="24.73046875" style="953" customWidth="1"/>
    <col min="2" max="2" width="13.73046875" style="953" customWidth="1"/>
    <col min="3" max="11" width="10.59765625" style="953" customWidth="1"/>
    <col min="12" max="12" width="9.73046875" style="953" customWidth="1"/>
    <col min="13" max="21" width="10.59765625" style="953" customWidth="1"/>
    <col min="22" max="16384" width="9.265625" style="953"/>
  </cols>
  <sheetData>
    <row r="1" spans="1:7" ht="3" customHeight="1"/>
    <row r="2" spans="1:7" ht="13.15">
      <c r="A2" s="952" t="s">
        <v>3415</v>
      </c>
    </row>
    <row r="3" spans="1:7" ht="3" customHeight="1"/>
    <row r="4" spans="1:7">
      <c r="A4" s="953" t="s">
        <v>3416</v>
      </c>
      <c r="B4" s="954">
        <f>+'Part III-A-Uses of Funds'!$G$146</f>
        <v>11432050</v>
      </c>
    </row>
    <row r="5" spans="1:7">
      <c r="A5" s="953" t="s">
        <v>3447</v>
      </c>
      <c r="B5" s="954">
        <f>+B18+B26+B38</f>
        <v>561210.05591920984</v>
      </c>
    </row>
    <row r="6" spans="1:7">
      <c r="A6" s="953" t="s">
        <v>3417</v>
      </c>
      <c r="B6" s="955">
        <f>+B5-B4</f>
        <v>-10870839.944080791</v>
      </c>
    </row>
    <row r="7" spans="1:7">
      <c r="A7" s="953" t="s">
        <v>3418</v>
      </c>
      <c r="B7" s="956">
        <f>+B6/B4</f>
        <v>-0.9509090621612738</v>
      </c>
    </row>
    <row r="8" spans="1:7" ht="9" customHeight="1"/>
    <row r="9" spans="1:7">
      <c r="A9" s="953" t="s">
        <v>3419</v>
      </c>
      <c r="B9" s="954">
        <f>+B18+B26+B33</f>
        <v>561210.05591920984</v>
      </c>
    </row>
    <row r="10" spans="1:7">
      <c r="A10" s="953" t="s">
        <v>3417</v>
      </c>
      <c r="B10" s="955">
        <f>+B9-B4</f>
        <v>-10870839.944080791</v>
      </c>
    </row>
    <row r="11" spans="1:7">
      <c r="A11" s="953" t="s">
        <v>3418</v>
      </c>
      <c r="B11" s="956">
        <f>+B10/B4</f>
        <v>-0.9509090621612738</v>
      </c>
    </row>
    <row r="12" spans="1:7" ht="24" customHeight="1"/>
    <row r="13" spans="1:7" ht="13.15">
      <c r="A13" s="952" t="s">
        <v>3420</v>
      </c>
      <c r="D13" s="1010" t="s">
        <v>3664</v>
      </c>
      <c r="E13" s="1011"/>
    </row>
    <row r="14" spans="1:7">
      <c r="A14" s="953" t="s">
        <v>3421</v>
      </c>
      <c r="B14" s="957">
        <f>+SUM('Part II-Sources of Funds'!L51:M52)</f>
        <v>10789362</v>
      </c>
      <c r="D14" s="1011"/>
      <c r="E14" s="1011"/>
    </row>
    <row r="15" spans="1:7">
      <c r="A15" s="953" t="s">
        <v>3422</v>
      </c>
      <c r="B15" s="958">
        <f>+'Part III-A-Uses of Funds'!J180</f>
        <v>1079085</v>
      </c>
      <c r="D15" s="1011" t="s">
        <v>1895</v>
      </c>
      <c r="G15" s="1012">
        <f>'Part III-A-Uses of Funds'!J168</f>
        <v>13538580.9</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6438949.0760400007</v>
      </c>
    </row>
    <row r="20" spans="1:7">
      <c r="A20" s="953" t="s">
        <v>3425</v>
      </c>
      <c r="B20" s="957">
        <f>+B18-B14</f>
        <v>-10789362</v>
      </c>
      <c r="D20" s="1011" t="s">
        <v>3669</v>
      </c>
      <c r="G20" s="1014">
        <f>+B14-G19</f>
        <v>4350412.9239599993</v>
      </c>
    </row>
    <row r="21" spans="1:7">
      <c r="A21" s="953" t="s">
        <v>3426</v>
      </c>
      <c r="B21" s="956">
        <f>+B20/B14</f>
        <v>-1</v>
      </c>
      <c r="D21" s="1011" t="s">
        <v>3670</v>
      </c>
      <c r="G21" s="1011" t="str">
        <f>+IF(G20&gt;(B28+B35),"No","Yes")</f>
        <v>No</v>
      </c>
    </row>
    <row r="22" spans="1:7" ht="24" customHeight="1"/>
    <row r="23" spans="1:7" ht="13.15">
      <c r="A23" s="952" t="s">
        <v>3427</v>
      </c>
    </row>
    <row r="24" spans="1:7">
      <c r="A24" s="953" t="s">
        <v>3428</v>
      </c>
      <c r="B24" s="960">
        <f>+SUM('Part II-Sources of Funds'!I40:J43)</f>
        <v>641200</v>
      </c>
    </row>
    <row r="25" spans="1:7">
      <c r="A25" s="953" t="s">
        <v>3429</v>
      </c>
      <c r="B25" s="961">
        <f>IF('Part II-Sources of Funds'!E6="Yes","N/A",MAX(B46:P46))</f>
        <v>-8325.8846752031022</v>
      </c>
    </row>
    <row r="26" spans="1:7">
      <c r="A26" s="953" t="s">
        <v>3430</v>
      </c>
      <c r="B26" s="951">
        <f>IFERROR(PV('Part II-Sources of Funds'!K40,'Part II-Sources of Funds'!L40,B25+B45),B24)</f>
        <v>561210.05591920984</v>
      </c>
    </row>
    <row r="27" spans="1:7" ht="9" customHeight="1">
      <c r="B27" s="951"/>
    </row>
    <row r="28" spans="1:7">
      <c r="A28" s="953" t="s">
        <v>3431</v>
      </c>
      <c r="B28" s="962">
        <f>+B26-B24</f>
        <v>-79989.944080790156</v>
      </c>
      <c r="C28" s="963"/>
    </row>
    <row r="29" spans="1:7">
      <c r="A29" s="953" t="s">
        <v>3426</v>
      </c>
      <c r="B29" s="964">
        <f>+B28/B24</f>
        <v>-0.12475038066249244</v>
      </c>
    </row>
    <row r="30" spans="1:7" ht="24" customHeight="1"/>
    <row r="31" spans="1:7" ht="13.15">
      <c r="A31" s="952" t="s">
        <v>3361</v>
      </c>
    </row>
    <row r="32" spans="1:7">
      <c r="A32" s="953" t="s">
        <v>3432</v>
      </c>
      <c r="B32" s="965">
        <f>+'Part II-Sources of Funds'!I45</f>
        <v>2153</v>
      </c>
    </row>
    <row r="33" spans="1:11">
      <c r="A33" s="953" t="s">
        <v>3433</v>
      </c>
      <c r="B33" s="951"/>
    </row>
    <row r="34" spans="1:11" ht="9" customHeight="1">
      <c r="B34" s="951"/>
    </row>
    <row r="35" spans="1:11">
      <c r="A35" s="953" t="s">
        <v>3434</v>
      </c>
      <c r="B35" s="965">
        <f>+B33-B32</f>
        <v>-2153</v>
      </c>
    </row>
    <row r="36" spans="1:11">
      <c r="A36" s="953" t="s">
        <v>3435</v>
      </c>
      <c r="B36" s="950">
        <f>+B35/B32</f>
        <v>-1</v>
      </c>
    </row>
    <row r="37" spans="1:11" ht="24" customHeight="1">
      <c r="B37" s="951"/>
    </row>
    <row r="38" spans="1:11" ht="13.15">
      <c r="A38" s="952" t="s">
        <v>3436</v>
      </c>
      <c r="B38" s="951">
        <f>+SUM('Part II-Sources of Funds'!I44,'Part II-Sources of Funds'!I49,'Part II-Sources of Funds'!I50,'Part II-Sources of Funds'!I53:I59)</f>
        <v>0</v>
      </c>
    </row>
    <row r="39" spans="1:11">
      <c r="B39" s="951"/>
    </row>
    <row r="40" spans="1:11">
      <c r="B40" s="951"/>
    </row>
    <row r="41" spans="1:11">
      <c r="B41" s="951"/>
    </row>
    <row r="42" spans="1:11" ht="13.15">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75266.712</v>
      </c>
      <c r="C44" s="954">
        <f>+'Part VI-Pro Forma'!C25</f>
        <v>74859.526240000007</v>
      </c>
      <c r="D44" s="954">
        <f>+'Part VI-Pro Forma'!D25</f>
        <v>74387.628764800029</v>
      </c>
      <c r="E44" s="954">
        <f>+'Part VI-Pro Forma'!E25</f>
        <v>73846.492300095953</v>
      </c>
      <c r="F44" s="954">
        <f>+'Part VI-Pro Forma'!F25</f>
        <v>73234.492434897955</v>
      </c>
      <c r="G44" s="954">
        <f>+'Part VI-Pro Forma'!G25</f>
        <v>72546.904281059891</v>
      </c>
      <c r="H44" s="954">
        <f>+'Part VI-Pro Forma'!H25</f>
        <v>71780.899024069018</v>
      </c>
      <c r="I44" s="954">
        <f>+'Part VI-Pro Forma'!I25</f>
        <v>70933.540361659863</v>
      </c>
      <c r="J44" s="954">
        <f>+'Part VI-Pro Forma'!J25</f>
        <v>70000.780826715971</v>
      </c>
      <c r="K44" s="954">
        <f>+'Part VI-Pro Forma'!K25</f>
        <v>68978.457990807859</v>
      </c>
    </row>
    <row r="45" spans="1:11">
      <c r="A45" s="953" t="s">
        <v>3438</v>
      </c>
      <c r="B45" s="954">
        <f>SUM('Part VI-Pro Forma'!B26:B29)</f>
        <v>-49156.163650470116</v>
      </c>
      <c r="C45" s="954">
        <f>SUM('Part VI-Pro Forma'!C26:C29)</f>
        <v>-49156.163650470116</v>
      </c>
      <c r="D45" s="954">
        <f>SUM('Part VI-Pro Forma'!D26:D29)</f>
        <v>-49156.163650470116</v>
      </c>
      <c r="E45" s="954">
        <f>SUM('Part VI-Pro Forma'!E26:E29)</f>
        <v>-49156.163650470116</v>
      </c>
      <c r="F45" s="954">
        <f>SUM('Part VI-Pro Forma'!F26:F29)</f>
        <v>-49156.163650470116</v>
      </c>
      <c r="G45" s="954">
        <f>SUM('Part VI-Pro Forma'!G26:G29)</f>
        <v>-49156.163650470116</v>
      </c>
      <c r="H45" s="954">
        <f>SUM('Part VI-Pro Forma'!H26:H29)</f>
        <v>-49156.163650470116</v>
      </c>
      <c r="I45" s="954">
        <f>SUM('Part VI-Pro Forma'!I26:I29)</f>
        <v>-49156.163650470116</v>
      </c>
      <c r="J45" s="954">
        <f>SUM('Part VI-Pro Forma'!J26:J29)</f>
        <v>-49156.163650470116</v>
      </c>
      <c r="K45" s="954">
        <f>SUM('Part VI-Pro Forma'!K26:K29)</f>
        <v>-49156.163650470116</v>
      </c>
    </row>
    <row r="46" spans="1:11">
      <c r="A46" s="953" t="s">
        <v>3439</v>
      </c>
      <c r="B46" s="955">
        <f t="shared" ref="B46:K46" si="0">-B44/B48-B45</f>
        <v>-13566.096349529886</v>
      </c>
      <c r="C46" s="955">
        <f t="shared" si="0"/>
        <v>-13226.774882863225</v>
      </c>
      <c r="D46" s="955">
        <f t="shared" si="0"/>
        <v>-12833.526986863246</v>
      </c>
      <c r="E46" s="955">
        <f t="shared" si="0"/>
        <v>-12382.579932943183</v>
      </c>
      <c r="F46" s="955">
        <f t="shared" si="0"/>
        <v>-11872.580045278184</v>
      </c>
      <c r="G46" s="955">
        <f t="shared" si="0"/>
        <v>-11299.589917079793</v>
      </c>
      <c r="H46" s="955">
        <f t="shared" si="0"/>
        <v>-10661.252202920732</v>
      </c>
      <c r="I46" s="955">
        <f t="shared" si="0"/>
        <v>-9955.1199842464412</v>
      </c>
      <c r="J46" s="955">
        <f t="shared" si="0"/>
        <v>-9177.8203717931974</v>
      </c>
      <c r="K46" s="955">
        <f t="shared" si="0"/>
        <v>-8325.8846752031022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15">
      <c r="A50" s="952" t="s">
        <v>1096</v>
      </c>
    </row>
    <row r="51" spans="1:17">
      <c r="A51" s="953" t="s">
        <v>1129</v>
      </c>
      <c r="B51" s="955">
        <f>+B44</f>
        <v>75266.712</v>
      </c>
      <c r="C51" s="955">
        <f t="shared" ref="C51:K51" si="2">+C44</f>
        <v>74859.526240000007</v>
      </c>
      <c r="D51" s="955">
        <f t="shared" si="2"/>
        <v>74387.628764800029</v>
      </c>
      <c r="E51" s="955">
        <f t="shared" si="2"/>
        <v>73846.492300095953</v>
      </c>
      <c r="F51" s="955">
        <f t="shared" si="2"/>
        <v>73234.492434897955</v>
      </c>
      <c r="G51" s="955">
        <f t="shared" si="2"/>
        <v>72546.904281059891</v>
      </c>
      <c r="H51" s="955">
        <f t="shared" si="2"/>
        <v>71780.899024069018</v>
      </c>
      <c r="I51" s="955">
        <f t="shared" si="2"/>
        <v>70933.540361659863</v>
      </c>
      <c r="J51" s="955">
        <f t="shared" si="2"/>
        <v>70000.780826715971</v>
      </c>
      <c r="K51" s="955">
        <f t="shared" si="2"/>
        <v>68978.457990807859</v>
      </c>
    </row>
    <row r="52" spans="1:17">
      <c r="A52" s="953" t="s">
        <v>3441</v>
      </c>
      <c r="B52" s="955">
        <f>IF($B$25="N/A",B45,B45+$B$25)</f>
        <v>-57482.048325673219</v>
      </c>
      <c r="C52" s="955">
        <f t="shared" ref="C52:K52" si="3">IF($B$25="N/A",C45,C45+$B$25)</f>
        <v>-57482.048325673219</v>
      </c>
      <c r="D52" s="955">
        <f t="shared" si="3"/>
        <v>-57482.048325673219</v>
      </c>
      <c r="E52" s="955">
        <f t="shared" si="3"/>
        <v>-57482.048325673219</v>
      </c>
      <c r="F52" s="955">
        <f t="shared" si="3"/>
        <v>-57482.048325673219</v>
      </c>
      <c r="G52" s="955">
        <f t="shared" si="3"/>
        <v>-57482.048325673219</v>
      </c>
      <c r="H52" s="955">
        <f t="shared" si="3"/>
        <v>-57482.048325673219</v>
      </c>
      <c r="I52" s="955">
        <f t="shared" si="3"/>
        <v>-57482.048325673219</v>
      </c>
      <c r="J52" s="955">
        <f t="shared" si="3"/>
        <v>-57482.048325673219</v>
      </c>
      <c r="K52" s="955">
        <f t="shared" si="3"/>
        <v>-57482.048325673219</v>
      </c>
    </row>
    <row r="53" spans="1:17">
      <c r="A53" s="953" t="s">
        <v>3442</v>
      </c>
      <c r="B53" s="954">
        <f>+'Part VI-Pro Forma'!B31</f>
        <v>-6000</v>
      </c>
      <c r="C53" s="954">
        <f>+'Part VI-Pro Forma'!C31</f>
        <v>-6180</v>
      </c>
      <c r="D53" s="954">
        <f>+'Part VI-Pro Forma'!D31</f>
        <v>-6365.4000000000005</v>
      </c>
      <c r="E53" s="954">
        <f>+'Part VI-Pro Forma'!E31</f>
        <v>-6556.362000000001</v>
      </c>
      <c r="F53" s="954">
        <f>+'Part VI-Pro Forma'!F31</f>
        <v>-6753.0528600000016</v>
      </c>
      <c r="G53" s="954">
        <f>+'Part VI-Pro Forma'!G31</f>
        <v>-6955.6444458000014</v>
      </c>
      <c r="H53" s="954">
        <f>+'Part VI-Pro Forma'!H31</f>
        <v>-7164.3137791740019</v>
      </c>
      <c r="I53" s="954">
        <f>+'Part VI-Pro Forma'!I31</f>
        <v>-7379.2431925492219</v>
      </c>
      <c r="J53" s="954">
        <f>+'Part VI-Pro Forma'!J31</f>
        <v>-7600.6204883256987</v>
      </c>
      <c r="K53" s="954">
        <f>+'Part VI-Pro Forma'!K31</f>
        <v>-7828.6391029754695</v>
      </c>
    </row>
    <row r="54" spans="1:17">
      <c r="A54" s="953" t="s">
        <v>3443</v>
      </c>
      <c r="B54" s="955">
        <f>+SUM(B51:B53)</f>
        <v>11784.663674326781</v>
      </c>
      <c r="C54" s="955">
        <f t="shared" ref="C54:K54" si="4">+SUM(C51:C53)</f>
        <v>11197.477914326788</v>
      </c>
      <c r="D54" s="955">
        <f t="shared" si="4"/>
        <v>10540.180439126809</v>
      </c>
      <c r="E54" s="955">
        <f t="shared" si="4"/>
        <v>9808.0819744227338</v>
      </c>
      <c r="F54" s="955">
        <f t="shared" si="4"/>
        <v>8999.3912492247346</v>
      </c>
      <c r="G54" s="955">
        <f t="shared" si="4"/>
        <v>8109.2115095866711</v>
      </c>
      <c r="H54" s="955">
        <f t="shared" si="4"/>
        <v>7134.5369192217977</v>
      </c>
      <c r="I54" s="955">
        <f t="shared" si="4"/>
        <v>6072.2488434374227</v>
      </c>
      <c r="J54" s="955">
        <f t="shared" si="4"/>
        <v>4918.1120127170534</v>
      </c>
      <c r="K54" s="955">
        <f t="shared" si="4"/>
        <v>3667.7705621591713</v>
      </c>
    </row>
    <row r="55" spans="1:17">
      <c r="A55" s="953" t="s">
        <v>3361</v>
      </c>
      <c r="B55" s="955">
        <f>-B54</f>
        <v>-11784.663674326781</v>
      </c>
      <c r="C55" s="955">
        <f t="shared" ref="C55:K55" si="5">-C54</f>
        <v>-11197.477914326788</v>
      </c>
      <c r="D55" s="955">
        <f t="shared" si="5"/>
        <v>-10540.180439126809</v>
      </c>
      <c r="E55" s="955">
        <f t="shared" si="5"/>
        <v>-9808.0819744227338</v>
      </c>
      <c r="F55" s="955">
        <f t="shared" si="5"/>
        <v>-8999.3912492247346</v>
      </c>
      <c r="G55" s="955">
        <f t="shared" si="5"/>
        <v>-8109.2115095866711</v>
      </c>
      <c r="H55" s="955">
        <f t="shared" si="5"/>
        <v>-7134.5369192217977</v>
      </c>
      <c r="I55" s="955">
        <f t="shared" si="5"/>
        <v>-6072.2488434374227</v>
      </c>
      <c r="J55" s="955">
        <f t="shared" si="5"/>
        <v>-4918.1120127170534</v>
      </c>
      <c r="K55" s="955">
        <f t="shared" si="5"/>
        <v>-3667.7705621591713</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542417.37736401404</v>
      </c>
      <c r="C58" s="954">
        <f>IF($B$26="","",-FV('Part II-Sources of Funds'!$K$40/12,12,C52/12,B58))</f>
        <v>522266.17455655779</v>
      </c>
      <c r="D58" s="954">
        <f>IF($B$26="","",-FV('Part II-Sources of Funds'!$K$40/12,12,D52/12,C58))</f>
        <v>500658.23966880015</v>
      </c>
      <c r="E58" s="954">
        <f>IF($B$26="","",-FV('Part II-Sources of Funds'!$K$40/12,12,E52/12,D58))</f>
        <v>477488.26542087027</v>
      </c>
      <c r="F58" s="954">
        <f>IF($B$26="","",-FV('Part II-Sources of Funds'!$K$40/12,12,F52/12,E58))</f>
        <v>452643.33186112053</v>
      </c>
      <c r="G58" s="954">
        <f>IF($B$26="","",-FV('Part II-Sources of Funds'!$K$40/12,12,G52/12,F58))</f>
        <v>426002.35604546871</v>
      </c>
      <c r="H58" s="954">
        <f>IF($B$26="","",-FV('Part II-Sources of Funds'!$K$40/12,12,H52/12,G58))</f>
        <v>397435.50193401438</v>
      </c>
      <c r="I58" s="954">
        <f>IF($B$26="","",-FV('Part II-Sources of Funds'!$K$40/12,12,I52/12,H58))</f>
        <v>366803.54762903473</v>
      </c>
      <c r="J58" s="954">
        <f>IF($B$26="","",-FV('Part II-Sources of Funds'!$K$40/12,12,J52/12,I58))</f>
        <v>333957.20687056356</v>
      </c>
      <c r="K58" s="954">
        <f>IF($B$26="","",-FV('Part II-Sources of Funds'!$K$40/12,12,K52/12,J58))</f>
        <v>298736.4014828311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15">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67863.290544608273</v>
      </c>
      <c r="C64" s="954">
        <f>+'Part VI-Pro Forma'!C57</f>
        <v>66650.874251304107</v>
      </c>
      <c r="D64" s="954">
        <f>+'Part VI-Pro Forma'!D57</f>
        <v>65336.677769008224</v>
      </c>
      <c r="E64" s="954">
        <f>+'Part VI-Pro Forma'!E57</f>
        <v>63917.038338046572</v>
      </c>
      <c r="F64" s="954">
        <f>+'Part VI-Pro Forma'!F57</f>
        <v>62387.157328875495</v>
      </c>
      <c r="G64" s="954">
        <f>+'Part VI-Pro Forma'!G57</f>
        <v>60743.095646242924</v>
      </c>
      <c r="H64" s="954">
        <f>+'Part VI-Pro Forma'!H57</f>
        <v>58978.768985081595</v>
      </c>
      <c r="I64" s="954">
        <f>+'Part VI-Pro Forma'!I57</f>
        <v>57089.942933474427</v>
      </c>
      <c r="J64" s="954">
        <f>+'Part VI-Pro Forma'!J57</f>
        <v>55071.227917895711</v>
      </c>
      <c r="K64" s="954">
        <f>+'Part VI-Pro Forma'!K57</f>
        <v>52917.073985777999</v>
      </c>
    </row>
    <row r="65" spans="1:11">
      <c r="A65" s="953" t="s">
        <v>3438</v>
      </c>
      <c r="B65" s="954">
        <f>SUM('Part VI-Pro Forma'!B58:B61)</f>
        <v>-49156.163650470116</v>
      </c>
      <c r="C65" s="954">
        <f>SUM('Part VI-Pro Forma'!C58:C61)</f>
        <v>-49156.163650470116</v>
      </c>
      <c r="D65" s="954">
        <f>SUM('Part VI-Pro Forma'!D58:D61)</f>
        <v>-49156.163650470116</v>
      </c>
      <c r="E65" s="954">
        <f>SUM('Part VI-Pro Forma'!E58:E61)</f>
        <v>-49156.163650470116</v>
      </c>
      <c r="F65" s="954">
        <f>SUM('Part VI-Pro Forma'!F58:F61)</f>
        <v>-49156.163650470116</v>
      </c>
      <c r="G65" s="954">
        <f>SUM('Part VI-Pro Forma'!G58:G61)</f>
        <v>-49156.163650470116</v>
      </c>
      <c r="H65" s="954">
        <f>SUM('Part VI-Pro Forma'!H58:H61)</f>
        <v>-49156.163650470116</v>
      </c>
      <c r="I65" s="954">
        <f>SUM('Part VI-Pro Forma'!I58:I61)</f>
        <v>0</v>
      </c>
      <c r="J65" s="954">
        <f>SUM('Part VI-Pro Forma'!J58:J61)</f>
        <v>0</v>
      </c>
      <c r="K65" s="954">
        <f>SUM('Part VI-Pro Forma'!K58:K61)</f>
        <v>0</v>
      </c>
    </row>
    <row r="66" spans="1:11">
      <c r="A66" s="953" t="s">
        <v>3439</v>
      </c>
      <c r="B66" s="955">
        <f t="shared" ref="B66:K66" si="7">-B64/B68-B65</f>
        <v>-7396.5784700367803</v>
      </c>
      <c r="C66" s="955">
        <f t="shared" si="7"/>
        <v>-6386.2315589499776</v>
      </c>
      <c r="D66" s="955">
        <f t="shared" si="7"/>
        <v>-5291.0678237034081</v>
      </c>
      <c r="E66" s="955">
        <f t="shared" si="7"/>
        <v>-4108.0349645686947</v>
      </c>
      <c r="F66" s="955">
        <f t="shared" si="7"/>
        <v>-2833.1341235927976</v>
      </c>
      <c r="G66" s="955">
        <f t="shared" si="7"/>
        <v>-1463.0827213989905</v>
      </c>
      <c r="H66" s="955">
        <f t="shared" si="7"/>
        <v>7.1894962354490417</v>
      </c>
      <c r="I66" s="955">
        <f t="shared" si="7"/>
        <v>-47574.952444562026</v>
      </c>
      <c r="J66" s="955">
        <f t="shared" si="7"/>
        <v>-45892.689931579764</v>
      </c>
      <c r="K66" s="955">
        <f t="shared" si="7"/>
        <v>-44097.561654814999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15">
      <c r="A70" s="952" t="s">
        <v>1096</v>
      </c>
    </row>
    <row r="71" spans="1:11">
      <c r="A71" s="953" t="s">
        <v>1129</v>
      </c>
      <c r="B71" s="955">
        <f t="shared" ref="B71:G71" si="9">+B64</f>
        <v>67863.290544608273</v>
      </c>
      <c r="C71" s="955">
        <f t="shared" si="9"/>
        <v>66650.874251304107</v>
      </c>
      <c r="D71" s="955">
        <f t="shared" si="9"/>
        <v>65336.677769008224</v>
      </c>
      <c r="E71" s="955">
        <f t="shared" si="9"/>
        <v>63917.038338046572</v>
      </c>
      <c r="F71" s="955">
        <f t="shared" si="9"/>
        <v>62387.157328875495</v>
      </c>
      <c r="G71" s="955">
        <f t="shared" si="9"/>
        <v>60743.095646242924</v>
      </c>
      <c r="H71" s="955">
        <f>+H64</f>
        <v>58978.768985081595</v>
      </c>
      <c r="I71" s="955">
        <f>+I64</f>
        <v>57089.942933474427</v>
      </c>
      <c r="J71" s="955">
        <f>+J64</f>
        <v>55071.227917895711</v>
      </c>
      <c r="K71" s="955">
        <f>+K64</f>
        <v>52917.073985777999</v>
      </c>
    </row>
    <row r="72" spans="1:11">
      <c r="A72" s="953" t="s">
        <v>3441</v>
      </c>
      <c r="B72" s="955">
        <f t="shared" ref="B72:G72" si="10">IF($B$25="N/A",B65,B65+$B$25)</f>
        <v>-57482.048325673219</v>
      </c>
      <c r="C72" s="955">
        <f t="shared" si="10"/>
        <v>-57482.048325673219</v>
      </c>
      <c r="D72" s="955">
        <f t="shared" si="10"/>
        <v>-57482.048325673219</v>
      </c>
      <c r="E72" s="955">
        <f t="shared" si="10"/>
        <v>-57482.048325673219</v>
      </c>
      <c r="F72" s="955">
        <f t="shared" si="10"/>
        <v>-57482.048325673219</v>
      </c>
      <c r="G72" s="955">
        <f t="shared" si="10"/>
        <v>-57482.048325673219</v>
      </c>
      <c r="H72" s="955">
        <f>IF($B$25="N/A",H65,H65+$B$25)</f>
        <v>-57482.048325673219</v>
      </c>
      <c r="I72" s="955">
        <f>IF($B$25="N/A",I65,I65+$B$25)</f>
        <v>-8325.8846752031022</v>
      </c>
      <c r="J72" s="955">
        <f>IF($B$25="N/A",J65,J65+$B$25)</f>
        <v>-8325.8846752031022</v>
      </c>
      <c r="K72" s="955">
        <f>IF($B$25="N/A",K65,K65+$B$25)</f>
        <v>-8325.8846752031022</v>
      </c>
    </row>
    <row r="73" spans="1:11">
      <c r="A73" s="953" t="s">
        <v>3442</v>
      </c>
      <c r="B73" s="954">
        <f>+'Part VI-Pro Forma'!B63</f>
        <v>-8063.4982760647335</v>
      </c>
      <c r="C73" s="954">
        <f>+'Part VI-Pro Forma'!C63</f>
        <v>-8305.4032243466754</v>
      </c>
      <c r="D73" s="954">
        <f>+'Part VI-Pro Forma'!D63</f>
        <v>-8554.5653210770761</v>
      </c>
      <c r="E73" s="954">
        <f>+'Part VI-Pro Forma'!E63</f>
        <v>-8811.202280709389</v>
      </c>
      <c r="F73" s="954">
        <f>+'Part VI-Pro Forma'!F63</f>
        <v>-9075.5383491306711</v>
      </c>
      <c r="G73" s="954">
        <f>+'Part VI-Pro Forma'!G63</f>
        <v>0</v>
      </c>
      <c r="H73" s="954">
        <f>+'Part VI-Pro Forma'!H63</f>
        <v>0</v>
      </c>
      <c r="I73" s="954">
        <f>+'Part VI-Pro Forma'!I63</f>
        <v>0</v>
      </c>
      <c r="J73" s="954">
        <f>+'Part VI-Pro Forma'!J63</f>
        <v>0</v>
      </c>
      <c r="K73" s="954">
        <f>+'Part VI-Pro Forma'!K63</f>
        <v>0</v>
      </c>
    </row>
    <row r="74" spans="1:11">
      <c r="A74" s="953" t="s">
        <v>3443</v>
      </c>
      <c r="B74" s="955">
        <f t="shared" ref="B74:G74" si="11">+SUM(B71:B73)</f>
        <v>2317.743942870321</v>
      </c>
      <c r="C74" s="955">
        <f t="shared" si="11"/>
        <v>863.42270128421296</v>
      </c>
      <c r="D74" s="955">
        <f t="shared" si="11"/>
        <v>-699.93587774207117</v>
      </c>
      <c r="E74" s="955">
        <f t="shared" si="11"/>
        <v>-2376.2122683360358</v>
      </c>
      <c r="F74" s="955">
        <f t="shared" si="11"/>
        <v>-4170.4293459283945</v>
      </c>
      <c r="G74" s="955">
        <f t="shared" si="11"/>
        <v>3261.0473205697053</v>
      </c>
      <c r="H74" s="955">
        <f>+SUM(H71:H73)</f>
        <v>1496.7206594083764</v>
      </c>
      <c r="I74" s="955">
        <f>+SUM(I71:I73)</f>
        <v>48764.058258271325</v>
      </c>
      <c r="J74" s="955">
        <f>+SUM(J71:J73)</f>
        <v>46745.343242692608</v>
      </c>
      <c r="K74" s="955">
        <f>+SUM(K71:K73)</f>
        <v>44591.189310574897</v>
      </c>
    </row>
    <row r="75" spans="1:11">
      <c r="A75" s="953" t="s">
        <v>3361</v>
      </c>
      <c r="B75" s="955">
        <f t="shared" ref="B75:G75" si="12">-B74</f>
        <v>-2317.743942870321</v>
      </c>
      <c r="C75" s="955">
        <f t="shared" si="12"/>
        <v>-863.42270128421296</v>
      </c>
      <c r="D75" s="955">
        <f t="shared" si="12"/>
        <v>699.93587774207117</v>
      </c>
      <c r="E75" s="955">
        <f t="shared" si="12"/>
        <v>2376.2122683360358</v>
      </c>
      <c r="F75" s="955">
        <f t="shared" si="12"/>
        <v>4170.4293459283945</v>
      </c>
      <c r="G75" s="955">
        <f t="shared" si="12"/>
        <v>-3261.0473205697053</v>
      </c>
      <c r="H75" s="955">
        <f>-H74</f>
        <v>-1496.7206594083764</v>
      </c>
      <c r="I75" s="955">
        <f>-I74</f>
        <v>-48764.058258271325</v>
      </c>
      <c r="J75" s="955">
        <f>-J74</f>
        <v>-46745.343242692608</v>
      </c>
      <c r="K75" s="955">
        <f>-K74</f>
        <v>-44591.189310574897</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260969.4812257977</v>
      </c>
      <c r="C78" s="954">
        <f>IF($B$26="","",-FV('Part II-Sources of Funds'!$K$40/12,12,C72/12,B78))</f>
        <v>220472.38724969231</v>
      </c>
      <c r="D78" s="954">
        <f>IF($B$26="","",-FV('Part II-Sources of Funds'!$K$40/12,12,D72/12,C78))</f>
        <v>177047.7550756117</v>
      </c>
      <c r="E78" s="954">
        <f>IF($B$26="","",-FV('Part II-Sources of Funds'!$K$40/12,12,E72/12,D78))</f>
        <v>130483.95273051449</v>
      </c>
      <c r="F78" s="954">
        <f>IF($B$26="","",-FV('Part II-Sources of Funds'!$K$40/12,12,F72/12,E78))</f>
        <v>80554.049348916422</v>
      </c>
      <c r="G78" s="954">
        <f>IF($B$26="","",-FV('Part II-Sources of Funds'!$K$40/12,12,G72/12,F78))</f>
        <v>27014.709214718576</v>
      </c>
      <c r="H78" s="954">
        <f>IF($B$26="","",-FV('Part II-Sources of Funds'!$K$40/12,12,H72/12,G78))</f>
        <v>-30394.994146769943</v>
      </c>
      <c r="I78" s="954">
        <f>IF($B$26="","",-FV('Part II-Sources of Funds'!$K$40/12,12,I72/12,H78))</f>
        <v>-41190.520393695151</v>
      </c>
      <c r="J78" s="954">
        <f>IF($B$26="","",-FV('Part II-Sources of Funds'!$K$40/12,12,J72/12,I78))</f>
        <v>-52766.456105896199</v>
      </c>
      <c r="K78" s="954">
        <f>IF($B$26="","",-FV('Part II-Sources of Funds'!$K$40/12,12,K72/12,J78))</f>
        <v>-65179.217146718853</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5625" defaultRowHeight="13.5"/>
  <cols>
    <col min="1" max="1" width="22.73046875" style="516" customWidth="1"/>
    <col min="2" max="2" width="1.73046875" style="516" customWidth="1"/>
    <col min="3" max="3" width="13" style="516" customWidth="1"/>
    <col min="4" max="4" width="11.265625" style="516" customWidth="1"/>
    <col min="5" max="5" width="14.73046875" style="516" customWidth="1"/>
    <col min="6" max="6" width="15.265625" style="516" customWidth="1"/>
    <col min="7" max="7" width="11.73046875" style="516" customWidth="1"/>
    <col min="8" max="8" width="11.3984375" style="516" customWidth="1"/>
    <col min="9" max="9" width="10.59765625" style="516" customWidth="1"/>
    <col min="10" max="10" width="6" style="516" customWidth="1"/>
    <col min="11" max="11" width="12.73046875" style="516" customWidth="1"/>
    <col min="12" max="12" width="10.73046875" style="516" customWidth="1"/>
    <col min="13" max="13" width="26.265625" style="516" customWidth="1"/>
    <col min="14" max="14" width="9.265625" style="516"/>
    <col min="15" max="15" width="12.3984375" style="516" customWidth="1"/>
    <col min="16" max="16" width="9.265625" style="516"/>
    <col min="17" max="17" width="11.73046875" style="516" bestFit="1" customWidth="1"/>
    <col min="18" max="16384" width="9.265625" style="516"/>
  </cols>
  <sheetData>
    <row r="1" spans="1:15" ht="13.5" customHeight="1">
      <c r="A1" s="517" t="s">
        <v>2705</v>
      </c>
      <c r="B1" s="517"/>
      <c r="C1" s="516" t="str">
        <f>'Sensitivity Analysis'!C8</f>
        <v>Dogwood Trail Apartments II</v>
      </c>
    </row>
    <row r="2" spans="1:15" ht="13.5" customHeight="1"/>
    <row r="3" spans="1:15" ht="13.5" customHeight="1">
      <c r="A3" s="517" t="s">
        <v>2706</v>
      </c>
      <c r="C3" s="516" t="s">
        <v>2707</v>
      </c>
      <c r="E3" s="586">
        <f>SUM('Part III-A-Uses of Funds'!J162,'Part III-A-Uses of Funds'!M162,'Part III-A-Uses of Funds'!P162)</f>
        <v>10414293</v>
      </c>
      <c r="F3" s="1024" t="s">
        <v>2708</v>
      </c>
      <c r="H3" s="1006">
        <v>27.5</v>
      </c>
      <c r="I3" s="516" t="s">
        <v>2273</v>
      </c>
      <c r="K3" s="521" t="s">
        <v>2729</v>
      </c>
      <c r="M3" s="1024"/>
      <c r="O3" s="587"/>
    </row>
    <row r="4" spans="1:15" ht="13.5" customHeight="1">
      <c r="C4" s="516" t="s">
        <v>3127</v>
      </c>
      <c r="E4" s="586">
        <f>SUM('Part III-A-Uses of Funds'!G97:H101)</f>
        <v>39500</v>
      </c>
      <c r="F4" s="1024" t="s">
        <v>3661</v>
      </c>
      <c r="H4" s="517">
        <f>'Part II-Sources of Funds'!M40</f>
        <v>35</v>
      </c>
      <c r="I4" s="516" t="s">
        <v>2273</v>
      </c>
      <c r="K4" s="588" t="s">
        <v>2957</v>
      </c>
      <c r="M4" s="1024"/>
    </row>
    <row r="5" spans="1:15" ht="13.5" customHeight="1">
      <c r="C5" s="516" t="s">
        <v>3128</v>
      </c>
      <c r="E5" s="586">
        <f>SUM('Part III-A-Uses of Funds'!G105:H111)</f>
        <v>122937</v>
      </c>
      <c r="F5" s="1024" t="s">
        <v>3660</v>
      </c>
      <c r="H5" s="1006">
        <v>15</v>
      </c>
      <c r="I5" s="516" t="s">
        <v>2273</v>
      </c>
      <c r="K5" s="587">
        <f>-E6</f>
        <v>-10788697</v>
      </c>
    </row>
    <row r="6" spans="1:15" ht="13.5" customHeight="1">
      <c r="C6" s="516" t="s">
        <v>2709</v>
      </c>
      <c r="E6" s="589">
        <f>'Part II-Sources of Funds'!$I$51+'Part II-Sources of Funds'!$I$52</f>
        <v>10788697</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17957.548349529883</v>
      </c>
      <c r="D9" s="594">
        <f>'Part VI-Pro Forma'!C33</f>
        <v>19523.36258952989</v>
      </c>
      <c r="E9" s="594">
        <f>'Part VI-Pro Forma'!D33</f>
        <v>18866.065114329911</v>
      </c>
      <c r="F9" s="594">
        <f>'Part VI-Pro Forma'!E33</f>
        <v>18133.966649625836</v>
      </c>
      <c r="G9" s="594">
        <f>'Part VI-Pro Forma'!F33</f>
        <v>17325.275924427835</v>
      </c>
      <c r="H9" s="594">
        <f>'Part VI-Pro Forma'!G33</f>
        <v>16435.096184789774</v>
      </c>
      <c r="I9" s="594">
        <f>'Part VI-Pro Forma'!H33</f>
        <v>15460.421594424901</v>
      </c>
      <c r="K9" s="587" t="e">
        <f>F24</f>
        <v>#VALUE!</v>
      </c>
      <c r="N9" s="595" t="s">
        <v>2715</v>
      </c>
    </row>
    <row r="10" spans="1:15" ht="13.5" customHeight="1">
      <c r="A10" s="516" t="s">
        <v>2714</v>
      </c>
      <c r="C10" s="978">
        <f>'Part II-Sources of Funds'!I40-'Part VI-Pro Forma'!B40</f>
        <v>4411.9293674794026</v>
      </c>
      <c r="D10" s="596">
        <f>'Part VI-Pro Forma'!B40-'Part VI-Pro Forma'!C40</f>
        <v>4730.8680981864454</v>
      </c>
      <c r="E10" s="596">
        <f>'Part VI-Pro Forma'!C40-'Part VI-Pro Forma'!D40</f>
        <v>5072.8629355245503</v>
      </c>
      <c r="F10" s="596">
        <f>'Part VI-Pro Forma'!D40-'Part VI-Pro Forma'!E40</f>
        <v>5439.5806073062122</v>
      </c>
      <c r="G10" s="596">
        <f>'Part VI-Pro Forma'!E40-'Part VI-Pro Forma'!F40</f>
        <v>5832.8083292323863</v>
      </c>
      <c r="H10" s="596">
        <f>'Part VI-Pro Forma'!F40-'Part VI-Pro Forma'!G40</f>
        <v>6254.4625149714993</v>
      </c>
      <c r="I10" s="596">
        <f>'Part VI-Pro Forma'!G40-'Part VI-Pro Forma'!H40</f>
        <v>6706.5981158911018</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-10000</v>
      </c>
      <c r="D13" s="979">
        <f>'Part VI-Pro Forma'!C23</f>
        <v>-10300</v>
      </c>
      <c r="E13" s="979">
        <f>'Part VI-Pro Forma'!D23</f>
        <v>-10609</v>
      </c>
      <c r="F13" s="979">
        <f>'Part VI-Pro Forma'!E23</f>
        <v>-10927.27</v>
      </c>
      <c r="G13" s="979">
        <f>'Part VI-Pro Forma'!F23</f>
        <v>-11255.088099999999</v>
      </c>
      <c r="H13" s="979">
        <f>'Part VI-Pro Forma'!G23</f>
        <v>-11592.740742999998</v>
      </c>
      <c r="I13" s="979">
        <f>'Part VI-Pro Forma'!H23</f>
        <v>-11940.52296529</v>
      </c>
      <c r="K13" s="587" t="e">
        <f>C44</f>
        <v>#VALUE!</v>
      </c>
      <c r="O13" s="592"/>
    </row>
    <row r="14" spans="1:15" ht="13.5" customHeight="1">
      <c r="A14" s="598" t="s">
        <v>3130</v>
      </c>
      <c r="B14" s="598"/>
      <c r="C14" s="979">
        <f>'Part VI-Pro Forma'!B32</f>
        <v>-2153</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378701.56363636366</v>
      </c>
      <c r="D15" s="599">
        <f t="shared" si="0"/>
        <v>378701.56363636366</v>
      </c>
      <c r="E15" s="599">
        <f t="shared" si="0"/>
        <v>378701.56363636366</v>
      </c>
      <c r="F15" s="599">
        <f t="shared" si="0"/>
        <v>378701.56363636366</v>
      </c>
      <c r="G15" s="599">
        <f t="shared" si="0"/>
        <v>378701.56363636366</v>
      </c>
      <c r="H15" s="599">
        <f t="shared" si="0"/>
        <v>378701.56363636366</v>
      </c>
      <c r="I15" s="599">
        <f t="shared" si="0"/>
        <v>378701.56363636366</v>
      </c>
      <c r="K15" s="587" t="e">
        <f>E44</f>
        <v>#VALUE!</v>
      </c>
      <c r="O15" s="592"/>
    </row>
    <row r="16" spans="1:15" ht="13.5" customHeight="1">
      <c r="A16" s="516" t="s">
        <v>2719</v>
      </c>
      <c r="C16" s="599">
        <f>IF(C$8&lt;=$H$4,($E$4/$H$4),0)+IF(C$8&lt;=$H$5,($E$5/$H$5),0)</f>
        <v>9324.3714285714286</v>
      </c>
      <c r="D16" s="599">
        <f t="shared" ref="D16:I16" si="1">IF(D$8&lt;=$H$4,($E$4/$H$4),0)+IF(D$8&lt;=$H$5,($E$5/$H$5),0)</f>
        <v>9324.3714285714286</v>
      </c>
      <c r="E16" s="599">
        <f t="shared" si="1"/>
        <v>9324.3714285714286</v>
      </c>
      <c r="F16" s="599">
        <f t="shared" si="1"/>
        <v>9324.3714285714286</v>
      </c>
      <c r="G16" s="599">
        <f t="shared" si="1"/>
        <v>9324.3714285714286</v>
      </c>
      <c r="H16" s="599">
        <f t="shared" si="1"/>
        <v>9324.3714285714286</v>
      </c>
      <c r="I16" s="599">
        <f t="shared" si="1"/>
        <v>9324.3714285714286</v>
      </c>
      <c r="K16" s="587" t="e">
        <f>F44</f>
        <v>#VALUE!</v>
      </c>
      <c r="M16" s="516" t="s">
        <v>2723</v>
      </c>
      <c r="O16" s="592">
        <f>E3</f>
        <v>10414293</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7574031.2727272734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2840261.7272727266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799212</v>
      </c>
      <c r="D21" s="600">
        <f t="shared" ref="D21:I21" si="5">C21</f>
        <v>799212</v>
      </c>
      <c r="E21" s="600">
        <f t="shared" si="5"/>
        <v>799212</v>
      </c>
      <c r="F21" s="600">
        <f t="shared" si="5"/>
        <v>799212</v>
      </c>
      <c r="G21" s="600">
        <f t="shared" si="5"/>
        <v>799212</v>
      </c>
      <c r="H21" s="600">
        <f t="shared" si="5"/>
        <v>799212</v>
      </c>
      <c r="I21" s="600">
        <f t="shared" si="5"/>
        <v>799212</v>
      </c>
      <c r="J21" s="516" t="s">
        <v>233</v>
      </c>
      <c r="K21" s="587" t="e">
        <f>D64</f>
        <v>#VALUE!</v>
      </c>
      <c r="O21" s="592"/>
    </row>
    <row r="22" spans="1:17" ht="13.5" customHeight="1">
      <c r="A22" s="516" t="s">
        <v>2726</v>
      </c>
      <c r="C22" s="600">
        <f>C21</f>
        <v>799212</v>
      </c>
      <c r="D22" s="600">
        <f t="shared" ref="D22:I22" si="6">D21</f>
        <v>799212</v>
      </c>
      <c r="E22" s="600">
        <f t="shared" si="6"/>
        <v>799212</v>
      </c>
      <c r="F22" s="600">
        <f t="shared" si="6"/>
        <v>799212</v>
      </c>
      <c r="G22" s="600">
        <f t="shared" si="6"/>
        <v>799212</v>
      </c>
      <c r="H22" s="600">
        <f t="shared" si="6"/>
        <v>799212</v>
      </c>
      <c r="I22" s="600">
        <f t="shared" si="6"/>
        <v>799212</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2840261.7272727266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-2840261.7272727266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14398.133518640525</v>
      </c>
      <c r="D29" s="594">
        <f>'Part VI-Pro Forma'!J33</f>
        <v>13243.996687920157</v>
      </c>
      <c r="E29" s="594">
        <f>'Part VI-Pro Forma'!K33</f>
        <v>11993.655237362273</v>
      </c>
      <c r="F29" s="594">
        <f>'Part VI-Pro Forma'!B65</f>
        <v>10643.628618073424</v>
      </c>
      <c r="G29" s="594">
        <f>'Part VI-Pro Forma'!C65</f>
        <v>9189.3073764873152</v>
      </c>
      <c r="H29" s="594">
        <f>'Part VI-Pro Forma'!D65</f>
        <v>7625.9487974610311</v>
      </c>
      <c r="I29" s="594">
        <f>'Part VI-Pro Forma'!E65</f>
        <v>5949.6724068670665</v>
      </c>
      <c r="N29" s="603"/>
      <c r="O29" s="603"/>
    </row>
    <row r="30" spans="1:17" ht="13.5" customHeight="1">
      <c r="A30" s="516" t="s">
        <v>2714</v>
      </c>
      <c r="C30" s="596">
        <f>'Part VI-Pro Forma'!H40-'Part VI-Pro Forma'!I40</f>
        <v>7191.4186359591549</v>
      </c>
      <c r="D30" s="596">
        <f>'Part VI-Pro Forma'!I40-'Part VI-Pro Forma'!J40</f>
        <v>7711.2868706237059</v>
      </c>
      <c r="E30" s="596">
        <f>'Part VI-Pro Forma'!J40-'Part VI-Pro Forma'!K40</f>
        <v>8268.7364220067393</v>
      </c>
      <c r="F30" s="976">
        <f>'Part VI-Pro Forma'!K40-'Part VI-Pro Forma'!B72</f>
        <v>8866.4840465324232</v>
      </c>
      <c r="G30" s="976">
        <f>'Part VI-Pro Forma'!B72-'Part VI-Pro Forma'!C72</f>
        <v>9507.4428951668087</v>
      </c>
      <c r="H30" s="976">
        <f>'Part VI-Pro Forma'!C72-'Part VI-Pro Forma'!D72</f>
        <v>10194.736710794503</v>
      </c>
      <c r="I30" s="976">
        <f>'Part VI-Pro Forma'!D72-'Part VI-Pro Forma'!E72</f>
        <v>10931.715051925858</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-568052.34545454534</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-12298.7386542487</v>
      </c>
      <c r="D33" s="979">
        <f>'Part VI-Pro Forma'!J23</f>
        <v>-12667.700813876159</v>
      </c>
      <c r="E33" s="979">
        <f>'Part VI-Pro Forma'!K23</f>
        <v>-13047.731838292444</v>
      </c>
      <c r="F33" s="979">
        <f>'Part VI-Pro Forma'!B55</f>
        <v>-13439.163793441217</v>
      </c>
      <c r="G33" s="979">
        <f>'Part VI-Pro Forma'!C55</f>
        <v>-13842.338707244455</v>
      </c>
      <c r="H33" s="979">
        <f>'Part VI-Pro Forma'!D55</f>
        <v>-14257.608868461786</v>
      </c>
      <c r="I33" s="979">
        <f>'Part VI-Pro Forma'!E55</f>
        <v>-14685.337134515639</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378701.56363636366</v>
      </c>
      <c r="D35" s="599">
        <f t="shared" si="8"/>
        <v>378701.56363636366</v>
      </c>
      <c r="E35" s="599">
        <f t="shared" si="8"/>
        <v>378701.56363636366</v>
      </c>
      <c r="F35" s="599">
        <f t="shared" si="8"/>
        <v>378701.56363636366</v>
      </c>
      <c r="G35" s="599">
        <f t="shared" si="8"/>
        <v>378701.56363636366</v>
      </c>
      <c r="H35" s="599">
        <f t="shared" si="8"/>
        <v>378701.56363636366</v>
      </c>
      <c r="I35" s="599">
        <f t="shared" si="8"/>
        <v>378701.56363636366</v>
      </c>
    </row>
    <row r="36" spans="1:15" ht="13.5" customHeight="1">
      <c r="A36" s="516" t="s">
        <v>2719</v>
      </c>
      <c r="C36" s="594">
        <f>IF(C$28&lt;=$H$4,($E$4/$H$4),0)+IF(C$28&lt;=$H$5,($E$5/$H$5),0)</f>
        <v>9324.3714285714286</v>
      </c>
      <c r="D36" s="594">
        <f t="shared" ref="D36:I36" si="9">IF(D$28&lt;=$H$4,($E$4/$H$4),0)+IF(D$28&lt;=$H$5,($E$5/$H$5),0)</f>
        <v>9324.3714285714286</v>
      </c>
      <c r="E36" s="594">
        <f t="shared" si="9"/>
        <v>9324.3714285714286</v>
      </c>
      <c r="F36" s="594">
        <f t="shared" si="9"/>
        <v>9324.3714285714286</v>
      </c>
      <c r="G36" s="594">
        <f t="shared" si="9"/>
        <v>9324.3714285714286</v>
      </c>
      <c r="H36" s="594">
        <f t="shared" si="9"/>
        <v>9324.3714285714286</v>
      </c>
      <c r="I36" s="594">
        <f t="shared" si="9"/>
        <v>9324.3714285714286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799212</v>
      </c>
      <c r="D41" s="600">
        <f>C41</f>
        <v>799212</v>
      </c>
      <c r="E41" s="600">
        <f>D41</f>
        <v>799212</v>
      </c>
      <c r="F41" s="600">
        <v>0</v>
      </c>
      <c r="G41" s="600">
        <v>0</v>
      </c>
      <c r="H41" s="600">
        <v>0</v>
      </c>
      <c r="I41" s="600">
        <v>0</v>
      </c>
    </row>
    <row r="42" spans="1:15" ht="13.5" customHeight="1">
      <c r="A42" s="516" t="s">
        <v>2726</v>
      </c>
      <c r="C42" s="600">
        <f>C22</f>
        <v>799212</v>
      </c>
      <c r="D42" s="600">
        <f>C42</f>
        <v>799212</v>
      </c>
      <c r="E42" s="600">
        <f>D42</f>
        <v>799212</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4155.4553292747078</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11721.969616926857</v>
      </c>
      <c r="D50" s="977">
        <f>'Part VI-Pro Forma'!F72-'Part VI-Pro Forma'!G72</f>
        <v>12569.351748328889</v>
      </c>
      <c r="E50" s="977">
        <f>'Part VI-Pro Forma'!G72-'Part VI-Pro Forma'!H72</f>
        <v>13477.991202526027</v>
      </c>
      <c r="F50" s="977">
        <f>'Part VI-Pro Forma'!H72-'Part VI-Pro Forma'!I72</f>
        <v>-36312.012936161482</v>
      </c>
      <c r="G50" s="977">
        <f>'Part VI-Pro Forma'!I72-'Part VI-Pro Forma'!J72</f>
        <v>-38937.0112873693</v>
      </c>
      <c r="H50" s="977">
        <f>'Part VI-Pro Forma'!J72-'Part VI-Pro Forma'!K72</f>
        <v>-41751.770981633454</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-15125.897248551109</v>
      </c>
      <c r="D53" s="979">
        <f>'Part VI-Pro Forma'!G55</f>
        <v>-15579.674166007644</v>
      </c>
      <c r="E53" s="979">
        <f>'Part VI-Pro Forma'!H55</f>
        <v>-16047.064390987871</v>
      </c>
      <c r="F53" s="979">
        <f>'Part VI-Pro Forma'!I55</f>
        <v>-16528.476322717506</v>
      </c>
      <c r="G53" s="979">
        <f>'Part VI-Pro Forma'!J55</f>
        <v>-17024.330612399033</v>
      </c>
      <c r="H53" s="979">
        <f>'Part VI-Pro Forma'!K55</f>
        <v>-17535.060530771003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378701.56363636366</v>
      </c>
      <c r="D55" s="599">
        <f t="shared" si="14"/>
        <v>378701.56363636366</v>
      </c>
      <c r="E55" s="599">
        <f t="shared" si="14"/>
        <v>378701.56363636366</v>
      </c>
      <c r="F55" s="599">
        <f t="shared" si="14"/>
        <v>378701.56363636366</v>
      </c>
      <c r="G55" s="599">
        <f t="shared" si="14"/>
        <v>378701.56363636366</v>
      </c>
      <c r="H55" s="599">
        <f t="shared" si="14"/>
        <v>378701.56363636366</v>
      </c>
    </row>
    <row r="56" spans="1:10" ht="13.5" customHeight="1">
      <c r="A56" s="516" t="s">
        <v>2719</v>
      </c>
      <c r="C56" s="594">
        <f t="shared" ref="C56:H56" si="15">IF(C$48&lt;=$H$4,($E$4/$H$4),0)+IF(C$48&lt;=$H$5,($E$5/$H$5),0)</f>
        <v>9324.3714285714286</v>
      </c>
      <c r="D56" s="594">
        <f t="shared" si="15"/>
        <v>1128.5714285714287</v>
      </c>
      <c r="E56" s="594">
        <f t="shared" si="15"/>
        <v>1128.5714285714287</v>
      </c>
      <c r="F56" s="594">
        <f t="shared" si="15"/>
        <v>1128.5714285714287</v>
      </c>
      <c r="G56" s="594">
        <f t="shared" si="15"/>
        <v>1128.5714285714287</v>
      </c>
      <c r="H56" s="594">
        <f t="shared" si="15"/>
        <v>1128.5714285714287</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3.9">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5625" defaultRowHeight="12.75"/>
  <cols>
    <col min="1" max="1" width="6.3984375" style="432" customWidth="1"/>
    <col min="2" max="2" width="16.73046875" style="432" customWidth="1"/>
    <col min="3" max="3" width="4.73046875" style="432" customWidth="1"/>
    <col min="4" max="4" width="6.3984375" style="432" customWidth="1"/>
    <col min="5" max="5" width="16.73046875" style="432" customWidth="1"/>
    <col min="6" max="6" width="4.73046875" style="432" customWidth="1"/>
    <col min="7" max="7" width="6.3984375" style="432" customWidth="1"/>
    <col min="8" max="8" width="16.73046875" style="432" customWidth="1"/>
    <col min="9" max="9" width="4.73046875" style="432" customWidth="1"/>
    <col min="10" max="10" width="6.3984375" style="432" customWidth="1"/>
    <col min="11" max="11" width="16.73046875" style="432" customWidth="1"/>
    <col min="12" max="16384" width="9.265625" style="432"/>
  </cols>
  <sheetData>
    <row r="1" spans="1:11" s="439" customFormat="1" ht="17.649999999999999" customHeight="1">
      <c r="A1" s="4769" t="str">
        <f>'Sensitivity Analysis'!C8</f>
        <v>Dogwood Trail Apartments II</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6060</v>
      </c>
      <c r="B4" s="4770"/>
      <c r="C4" s="1476"/>
      <c r="D4" s="4770" t="s">
        <v>6061</v>
      </c>
      <c r="E4" s="4770"/>
      <c r="F4" s="523"/>
      <c r="G4" s="4770" t="s">
        <v>6062</v>
      </c>
      <c r="H4" s="4770"/>
      <c r="I4" s="523"/>
      <c r="J4" s="4770" t="s">
        <v>6177</v>
      </c>
      <c r="K4" s="4770"/>
    </row>
    <row r="5" spans="1:11" ht="25.9" customHeight="1">
      <c r="A5" s="4771" t="str">
        <f>'Part II-Sources of Funds'!E40</f>
        <v>Churchill Stateside Group</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
      <c r="A7" s="982"/>
      <c r="B7" s="982" t="s">
        <v>2736</v>
      </c>
      <c r="D7" s="982"/>
      <c r="E7" s="982" t="s">
        <v>2736</v>
      </c>
      <c r="G7" s="982"/>
      <c r="H7" s="982" t="s">
        <v>2736</v>
      </c>
      <c r="J7" s="982"/>
      <c r="K7" s="982" t="s">
        <v>2736</v>
      </c>
    </row>
    <row r="8" spans="1:11" ht="1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4096.3469708725097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4096.3469708725097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4096.3469708725097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4096.3469708725097</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4096.3469708725097</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4096.3469708725097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4096.3469708725097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4096.3469708725097</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4096.3469708725097</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4096.3469708725097</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4096.3469708725097</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4096.3469708725097</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4096.3469708725097</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4096.3469708725097</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4096.3469708725097</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4096.3469708725097</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4096.3469708725097</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4096.3469708725097</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4096.3469708725097</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4096.3469708725097</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4096.3469708725097</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4096.3469708725097</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4096.3469708725097</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4096.3469708725097</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4096.3469708725097</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4096.3469708725097</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4096.3469708725097</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4096.3469708725097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4096.3469708725097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4096.3469708725097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4096.3469708725097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4096.3469708725097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5625" defaultRowHeight="12.75"/>
  <cols>
    <col min="1" max="1" width="3" style="432" customWidth="1"/>
    <col min="2" max="2" width="0.73046875" style="432" customWidth="1"/>
    <col min="3" max="3" width="16.3984375" style="432" customWidth="1"/>
    <col min="4" max="4" width="18.265625" style="432" customWidth="1"/>
    <col min="5" max="5" width="16.3984375" style="432" customWidth="1"/>
    <col min="6" max="6" width="13.265625" style="432" customWidth="1"/>
    <col min="7" max="7" width="14.3984375" style="432" customWidth="1"/>
    <col min="8" max="8" width="5.73046875" style="432" customWidth="1"/>
    <col min="9" max="16384" width="9.265625" style="432"/>
  </cols>
  <sheetData>
    <row r="1" spans="1:11" ht="12" customHeight="1">
      <c r="A1" s="4773" t="str">
        <f>CONCATENATE('Sensitivity Analysis'!E8,"  ",'Sensitivity Analysis'!C8)</f>
        <v>2023-0  Dogwood Trail Apartments II</v>
      </c>
      <c r="B1" s="4773"/>
      <c r="C1" s="4773"/>
      <c r="D1" s="4773"/>
      <c r="E1" s="4773"/>
      <c r="F1" s="4773"/>
      <c r="G1" s="4773"/>
      <c r="H1" s="4773"/>
    </row>
    <row r="3" spans="1:11" ht="12" customHeight="1">
      <c r="A3" s="4774" t="s">
        <v>3104</v>
      </c>
      <c r="B3" s="4774"/>
      <c r="C3" s="4774"/>
      <c r="D3" s="4774"/>
      <c r="E3" s="4774"/>
      <c r="F3" s="4774"/>
      <c r="G3" s="4774"/>
      <c r="H3" s="4774"/>
      <c r="I3" s="1027"/>
      <c r="J3" s="4776" t="s">
        <v>3458</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3463</v>
      </c>
      <c r="E11" s="4777"/>
      <c r="F11" s="4777"/>
      <c r="G11" s="4777"/>
      <c r="H11" s="4777"/>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Dogwood Trail Apartments II</v>
      </c>
    </row>
    <row r="16" spans="1:11" ht="12" customHeight="1">
      <c r="C16" s="432" t="s">
        <v>2744</v>
      </c>
      <c r="E16" s="4777"/>
      <c r="F16" s="4777"/>
      <c r="G16" s="4777"/>
      <c r="H16" s="4777"/>
    </row>
    <row r="17" spans="1:8" ht="12" customHeight="1">
      <c r="E17" s="438" t="str">
        <f>'Part I-Project Identification'!$F$26</f>
        <v>Albany</v>
      </c>
      <c r="F17" s="609" t="s">
        <v>791</v>
      </c>
      <c r="G17" s="4778" t="s">
        <v>6750</v>
      </c>
      <c r="H17" s="4778"/>
    </row>
    <row r="18" spans="1:8" ht="12" customHeight="1">
      <c r="E18" s="620" t="str">
        <f>(CONCATENATE('Part I-Project Identification'!$J$26," County"))</f>
        <v>Dougherty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3459</v>
      </c>
      <c r="E23" s="1991"/>
    </row>
    <row r="24" spans="1:8" ht="12" customHeight="1">
      <c r="C24" s="432" t="s">
        <v>3462</v>
      </c>
      <c r="E24" s="1991"/>
    </row>
    <row r="25" spans="1:8" ht="12" customHeight="1">
      <c r="C25" s="432" t="s">
        <v>3463</v>
      </c>
      <c r="E25" s="4777"/>
      <c r="F25" s="4777"/>
      <c r="G25" s="4777"/>
      <c r="H25" s="477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8796881</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3465</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619310.55203578167</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120185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45304</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5625" defaultRowHeight="12.75"/>
  <cols>
    <col min="1" max="1" width="23.59765625" style="432" customWidth="1"/>
    <col min="2" max="2" width="11" style="432" customWidth="1"/>
    <col min="3" max="3" width="31" style="432" customWidth="1"/>
    <col min="4" max="4" width="14" style="432" customWidth="1"/>
    <col min="5" max="10" width="11.265625" style="432" customWidth="1"/>
    <col min="11" max="16384" width="9.265625" style="432"/>
  </cols>
  <sheetData>
    <row r="1" spans="1:13" ht="13.9">
      <c r="A1" s="4782" t="s">
        <v>2960</v>
      </c>
      <c r="B1" s="4782"/>
      <c r="C1" s="4782"/>
      <c r="D1" s="4782"/>
      <c r="E1" s="4782"/>
      <c r="F1" s="4782"/>
      <c r="G1" s="4782"/>
      <c r="H1" s="4782"/>
      <c r="I1" s="4782"/>
      <c r="J1" s="4782"/>
    </row>
    <row r="2" spans="1:13" ht="13.9">
      <c r="A2" s="4782" t="str">
        <f>'Sensitivity Analysis'!E8&amp;"  "&amp;'Sensitivity Analysis'!C8</f>
        <v>2023-0  Dogwood Trail Apartments II</v>
      </c>
      <c r="B2" s="4782"/>
      <c r="C2" s="4782"/>
      <c r="D2" s="4782"/>
      <c r="E2" s="4782"/>
      <c r="F2" s="4782"/>
      <c r="G2" s="4782"/>
      <c r="H2" s="4782"/>
      <c r="I2" s="4782"/>
      <c r="J2" s="4782"/>
    </row>
    <row r="3" spans="1:13" ht="6" customHeight="1">
      <c r="K3" s="4776" t="s">
        <v>3458</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Dogwood Trail Apartments II</v>
      </c>
      <c r="I28" s="560"/>
    </row>
    <row r="29" spans="1:9" ht="3" customHeight="1">
      <c r="C29" s="613"/>
      <c r="I29" s="560"/>
    </row>
    <row r="30" spans="1:9" ht="12" customHeight="1">
      <c r="A30" s="432" t="s">
        <v>2791</v>
      </c>
      <c r="C30" s="613">
        <f>'Preview term'!E16</f>
        <v>0</v>
      </c>
      <c r="I30" s="560"/>
    </row>
    <row r="31" spans="1:9" ht="13.15">
      <c r="C31" s="560" t="str">
        <f>'Preview term'!E17</f>
        <v>Albany</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6165</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3108</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Dougherty</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3109</v>
      </c>
      <c r="E53" s="4786"/>
      <c r="F53" s="4786"/>
      <c r="G53" s="4786"/>
      <c r="H53" s="4786"/>
      <c r="I53" s="4786"/>
      <c r="J53" s="4786"/>
    </row>
    <row r="54" spans="1:10" ht="12" customHeight="1">
      <c r="A54" s="617"/>
      <c r="B54" s="617"/>
      <c r="C54" s="617"/>
      <c r="D54" s="619" t="s">
        <v>3110</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8796881</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204</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619310.55203578167</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6169</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548923.5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15">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1"/>
      <c r="F166" s="4781"/>
      <c r="G166" s="4781"/>
      <c r="I166" s="560"/>
    </row>
    <row r="167" spans="1:9" ht="3" customHeight="1">
      <c r="E167" s="560"/>
      <c r="G167" s="560"/>
      <c r="I167" s="560"/>
    </row>
    <row r="168" spans="1:9" ht="12" customHeight="1">
      <c r="A168" s="432" t="s">
        <v>2866</v>
      </c>
      <c r="C168" s="432" t="s">
        <v>2867</v>
      </c>
      <c r="E168" s="632">
        <f>'Preview term'!F74</f>
        <v>120185</v>
      </c>
      <c r="G168" s="560"/>
      <c r="I168" s="560"/>
    </row>
    <row r="169" spans="1:9" ht="12" customHeight="1">
      <c r="C169" s="432" t="s">
        <v>3115</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10000</v>
      </c>
      <c r="F174" s="560" t="s">
        <v>2871</v>
      </c>
    </row>
    <row r="175" spans="1:9" ht="13.15">
      <c r="E175" s="632">
        <f>E174/12</f>
        <v>833.33333333333337</v>
      </c>
      <c r="F175" s="560" t="s">
        <v>2736</v>
      </c>
    </row>
    <row r="176" spans="1:9" ht="12" customHeight="1">
      <c r="C176" s="432" t="s">
        <v>3116</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45304</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15">
      <c r="A199" s="617" t="s">
        <v>3119</v>
      </c>
      <c r="B199" s="617"/>
      <c r="C199" s="617"/>
      <c r="D199" s="617"/>
      <c r="E199" s="619" t="s">
        <v>3118</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ht="13.15">
      <c r="A203" s="560"/>
      <c r="G203" s="560"/>
      <c r="H203" s="560"/>
      <c r="I203" s="560"/>
    </row>
    <row r="204" spans="1:10" s="516" customFormat="1" ht="13.9">
      <c r="A204" s="522" t="s">
        <v>6153</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6156</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5625" defaultRowHeight="13.5"/>
  <cols>
    <col min="1" max="1" width="5.3984375" style="1327" customWidth="1"/>
    <col min="2" max="2" width="6.265625" style="1327" customWidth="1"/>
    <col min="3" max="3" width="9.73046875" style="1327" customWidth="1"/>
    <col min="4" max="4" width="10.3984375" style="1327" customWidth="1"/>
    <col min="5" max="5" width="7.73046875" style="1331" customWidth="1"/>
    <col min="6" max="6" width="8" style="1327" customWidth="1"/>
    <col min="7" max="7" width="8.73046875" style="1327" customWidth="1"/>
    <col min="8" max="8" width="10.265625" style="1327" customWidth="1"/>
    <col min="9" max="9" width="10.73046875" style="1327" customWidth="1"/>
    <col min="10" max="11" width="11.73046875" style="1327" customWidth="1"/>
    <col min="12" max="16384" width="9.265625" style="1327"/>
  </cols>
  <sheetData>
    <row r="1" spans="1:11" ht="17.649999999999999">
      <c r="A1" s="1374" t="s">
        <v>3965</v>
      </c>
      <c r="B1" s="1374"/>
      <c r="C1" s="1374"/>
      <c r="D1" s="1374"/>
      <c r="E1" s="1374"/>
      <c r="F1" s="1374"/>
      <c r="G1" s="1374"/>
      <c r="H1" s="1374"/>
    </row>
    <row r="2" spans="1:11" ht="18" thickBot="1">
      <c r="A2" s="1374" t="s">
        <v>3966</v>
      </c>
      <c r="B2" s="1374"/>
      <c r="C2" s="1374"/>
      <c r="D2" s="1374"/>
      <c r="E2" s="1374"/>
      <c r="F2" s="1374"/>
      <c r="G2" s="1374"/>
      <c r="H2" s="1374"/>
    </row>
    <row r="3" spans="1:11" ht="15" customHeight="1" thickBot="1">
      <c r="A3" s="1328" t="s">
        <v>3967</v>
      </c>
      <c r="B3" s="1329"/>
      <c r="C3" s="1330"/>
      <c r="D3" s="4166" t="str">
        <f>'Part I-Project Identification'!F25</f>
        <v>Dogwood Trail Apartments II</v>
      </c>
      <c r="E3" s="4167"/>
      <c r="F3" s="4167"/>
      <c r="G3" s="4167"/>
      <c r="H3" s="4167"/>
      <c r="I3" s="4167"/>
      <c r="J3" s="4820" t="s">
        <v>3970</v>
      </c>
      <c r="K3" s="4821"/>
    </row>
    <row r="4" spans="1:11" ht="15" customHeight="1">
      <c r="A4" s="1332" t="s">
        <v>3968</v>
      </c>
      <c r="B4" s="1333"/>
      <c r="C4" s="1334"/>
      <c r="D4" s="4816">
        <f>'Preview term'!$E$16</f>
        <v>0</v>
      </c>
      <c r="E4" s="4817"/>
      <c r="F4" s="4817"/>
      <c r="G4" s="4817"/>
      <c r="H4" s="4817"/>
      <c r="I4" s="4817"/>
      <c r="J4" s="4172" t="s">
        <v>4009</v>
      </c>
      <c r="K4" s="4173"/>
    </row>
    <row r="5" spans="1:11" ht="15" customHeight="1" thickBot="1">
      <c r="A5" s="1335" t="s">
        <v>3969</v>
      </c>
      <c r="B5" s="1336"/>
      <c r="C5" s="1337"/>
      <c r="D5" s="4818"/>
      <c r="E5" s="4819"/>
      <c r="F5" s="4819"/>
      <c r="G5" s="4819"/>
      <c r="H5" s="4819"/>
      <c r="I5" s="4819"/>
      <c r="J5" s="4174"/>
      <c r="K5" s="4175"/>
    </row>
    <row r="6" spans="1:11" ht="9" customHeight="1" thickBot="1">
      <c r="E6" s="1327"/>
    </row>
    <row r="7" spans="1:11">
      <c r="A7" s="4184" t="s">
        <v>3971</v>
      </c>
      <c r="B7" s="4185"/>
      <c r="C7" s="4185"/>
      <c r="D7" s="4185"/>
      <c r="E7" s="4185"/>
      <c r="F7" s="4185"/>
      <c r="G7" s="4185"/>
      <c r="H7" s="4185"/>
      <c r="I7" s="4185"/>
      <c r="J7" s="4185"/>
      <c r="K7" s="4186"/>
    </row>
    <row r="8" spans="1:11" ht="14.25" customHeight="1">
      <c r="A8" s="1333"/>
      <c r="B8" s="1333"/>
      <c r="C8" s="1365">
        <v>1</v>
      </c>
      <c r="D8" s="1352" t="s">
        <v>3972</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3973</v>
      </c>
      <c r="B10" s="4188"/>
      <c r="C10" s="4188"/>
      <c r="D10" s="4188"/>
      <c r="E10" s="4188"/>
      <c r="F10" s="4188"/>
      <c r="G10" s="4188"/>
      <c r="H10" s="4188"/>
      <c r="I10" s="4188"/>
      <c r="J10" s="4188"/>
      <c r="K10" s="4189"/>
    </row>
    <row r="11" spans="1:11" ht="14.25" customHeight="1">
      <c r="A11" s="1333"/>
      <c r="B11" s="1333"/>
      <c r="C11" s="1365">
        <v>2</v>
      </c>
      <c r="D11" s="1352" t="s">
        <v>3974</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3975</v>
      </c>
      <c r="B13" s="4188"/>
      <c r="C13" s="4188"/>
      <c r="D13" s="4188"/>
      <c r="E13" s="4188"/>
      <c r="F13" s="4188"/>
      <c r="G13" s="4188"/>
      <c r="H13" s="4188"/>
      <c r="I13" s="4188"/>
      <c r="J13" s="4188"/>
      <c r="K13" s="4189"/>
    </row>
    <row r="14" spans="1:11" ht="14.25" customHeight="1">
      <c r="A14" s="1333"/>
      <c r="B14" s="1333"/>
      <c r="C14" s="1366">
        <v>3</v>
      </c>
      <c r="D14" s="1356" t="s">
        <v>3976</v>
      </c>
      <c r="E14" s="1356"/>
      <c r="F14" s="1356"/>
      <c r="G14" s="1356"/>
      <c r="H14" s="1356"/>
      <c r="I14" s="1356"/>
      <c r="J14" s="4793"/>
      <c r="K14" s="4794"/>
    </row>
    <row r="15" spans="1:11" ht="14.25" customHeight="1">
      <c r="A15" s="1333"/>
      <c r="B15" s="1333"/>
      <c r="C15" s="1367">
        <v>4</v>
      </c>
      <c r="D15" s="1333" t="s">
        <v>3977</v>
      </c>
      <c r="E15" s="1333"/>
      <c r="F15" s="1333"/>
      <c r="G15" s="1333"/>
      <c r="H15" s="1333"/>
      <c r="I15" s="1333"/>
      <c r="J15" s="4791"/>
      <c r="K15" s="4792"/>
    </row>
    <row r="16" spans="1:11" ht="14.25" customHeight="1">
      <c r="A16" s="1333"/>
      <c r="B16" s="1333"/>
      <c r="C16" s="1367">
        <v>5</v>
      </c>
      <c r="D16" s="1333" t="s">
        <v>3978</v>
      </c>
      <c r="E16" s="1333"/>
      <c r="F16" s="1333"/>
      <c r="G16" s="1333"/>
      <c r="H16" s="1333"/>
      <c r="I16" s="1333"/>
      <c r="J16" s="4791"/>
      <c r="K16" s="4792"/>
    </row>
    <row r="17" spans="1:13" ht="14.25" customHeight="1">
      <c r="A17" s="1333"/>
      <c r="B17" s="1333"/>
      <c r="C17" s="1368">
        <v>6</v>
      </c>
      <c r="D17" s="1336" t="s">
        <v>3979</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3980</v>
      </c>
      <c r="E19" s="1356"/>
      <c r="F19" s="1356"/>
      <c r="G19" s="1356"/>
      <c r="H19" s="1356"/>
      <c r="I19" s="1356"/>
      <c r="J19" s="4115" t="str">
        <f>IF(J17="No",J14-J15,IF(J17="Yes",J14-J15-J16,"Error"))</f>
        <v>Error</v>
      </c>
      <c r="K19" s="4116"/>
    </row>
    <row r="20" spans="1:13" ht="14.25" customHeight="1">
      <c r="A20" s="1333"/>
      <c r="B20" s="1333"/>
      <c r="C20" s="1368">
        <v>8</v>
      </c>
      <c r="D20" s="1336" t="s">
        <v>3981</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3982</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7.649999999999999">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4013</v>
      </c>
      <c r="B30" s="4155"/>
      <c r="C30" s="4155"/>
      <c r="D30" s="4155"/>
      <c r="E30" s="4155"/>
      <c r="F30" s="4155"/>
      <c r="G30" s="4155"/>
      <c r="H30" s="4155"/>
      <c r="I30" s="4155"/>
      <c r="J30" s="4155"/>
      <c r="K30" s="4156"/>
    </row>
    <row r="31" spans="1:13">
      <c r="B31" s="4805" t="s">
        <v>3970</v>
      </c>
      <c r="C31" s="4805"/>
      <c r="D31" s="4805"/>
      <c r="E31" s="4805"/>
      <c r="F31" s="4805"/>
      <c r="G31" s="4158" t="s">
        <v>3984</v>
      </c>
      <c r="H31" s="4159"/>
      <c r="I31" s="4159"/>
      <c r="J31" s="4159"/>
      <c r="K31" s="4160"/>
    </row>
    <row r="32" spans="1:13" ht="56.25" customHeight="1">
      <c r="A32" s="1351"/>
      <c r="B32" s="1369" t="s">
        <v>4012</v>
      </c>
      <c r="C32" s="1370" t="s">
        <v>4008</v>
      </c>
      <c r="D32" s="1370" t="s">
        <v>4007</v>
      </c>
      <c r="E32" s="4161" t="s">
        <v>6098</v>
      </c>
      <c r="F32" s="4162"/>
      <c r="G32" s="1371" t="s">
        <v>3985</v>
      </c>
      <c r="H32" s="1371" t="s">
        <v>3986</v>
      </c>
      <c r="J32" s="1371" t="s">
        <v>3987</v>
      </c>
      <c r="K32" s="1371" t="s">
        <v>3988</v>
      </c>
      <c r="L32" s="4163" t="s">
        <v>3989</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3990</v>
      </c>
      <c r="H52" s="1372" t="e">
        <f>SUM(H33:H51)</f>
        <v>#VALUE!</v>
      </c>
      <c r="I52" s="1356"/>
      <c r="J52" s="1362" t="s">
        <v>3991</v>
      </c>
      <c r="K52" s="1358" t="e">
        <f>SUM(K33:K51)</f>
        <v>#VALUE!</v>
      </c>
      <c r="L52" s="4163"/>
      <c r="M52" s="4163"/>
    </row>
    <row r="53" spans="1:13" ht="15" customHeight="1">
      <c r="B53" s="1363"/>
      <c r="C53" s="4149" t="s">
        <v>3992</v>
      </c>
      <c r="D53" s="4149"/>
      <c r="E53" s="4149"/>
      <c r="F53" s="4149"/>
      <c r="G53" s="4149"/>
      <c r="H53" s="4149"/>
      <c r="I53" s="4149"/>
      <c r="J53" s="4150"/>
      <c r="K53" s="1364" t="str">
        <f>IF(J17="no",0,IF(J17="yes",J16,"Error"))</f>
        <v>Error</v>
      </c>
      <c r="L53" s="4163"/>
      <c r="M53" s="4163"/>
    </row>
    <row r="54" spans="1:13" ht="15" customHeight="1" thickBot="1">
      <c r="B54" s="1363"/>
      <c r="C54" s="4151" t="s">
        <v>3993</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3994</v>
      </c>
      <c r="B56" s="4125"/>
      <c r="C56" s="4125"/>
      <c r="D56" s="4125"/>
      <c r="E56" s="4125"/>
      <c r="F56" s="4125"/>
      <c r="G56" s="4125"/>
      <c r="H56" s="4125"/>
      <c r="I56" s="4125"/>
      <c r="J56" s="4125"/>
      <c r="K56" s="4126"/>
    </row>
    <row r="57" spans="1:13" ht="48" customHeight="1">
      <c r="A57" s="1348"/>
      <c r="B57" s="1339"/>
      <c r="C57" s="1350" t="s">
        <v>3995</v>
      </c>
      <c r="D57" s="1483" t="s">
        <v>6063</v>
      </c>
      <c r="E57" s="4136" t="s">
        <v>4011</v>
      </c>
      <c r="F57" s="4137"/>
      <c r="G57" s="4810" t="s">
        <v>3996</v>
      </c>
      <c r="H57" s="4811"/>
      <c r="I57" s="4136" t="s">
        <v>4010</v>
      </c>
      <c r="J57" s="4137"/>
      <c r="K57" s="4140"/>
    </row>
    <row r="58" spans="1:13" ht="15" customHeight="1">
      <c r="A58" s="1465"/>
      <c r="B58" s="1381"/>
      <c r="C58" s="1359">
        <f>SUMIF(C33:C51, "0", H33:H51)</f>
        <v>0</v>
      </c>
      <c r="D58" s="1484">
        <f t="shared" ref="D58:D63" si="4">ROUNDUP(C58*1.1,0)</f>
        <v>0</v>
      </c>
      <c r="E58" s="4142" t="s">
        <v>3997</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3998</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3999</v>
      </c>
      <c r="F63" s="4134"/>
      <c r="G63" s="4806">
        <f>'DCA Underwriting Assumptions'!H133</f>
        <v>316236</v>
      </c>
      <c r="H63" s="4807"/>
      <c r="I63" s="4135">
        <f t="shared" si="5"/>
        <v>0</v>
      </c>
      <c r="J63" s="4135"/>
      <c r="K63" s="1384"/>
    </row>
    <row r="64" spans="1:13" ht="13.9" thickBot="1">
      <c r="A64" s="1481" t="s">
        <v>4000</v>
      </c>
      <c r="B64" s="1377">
        <f>SUM(C58:C63)</f>
        <v>0</v>
      </c>
      <c r="C64" s="1487"/>
      <c r="D64" s="1487">
        <f>SUM(D58:D63)</f>
        <v>0</v>
      </c>
      <c r="E64" s="1480"/>
      <c r="F64" s="1480"/>
      <c r="G64" s="1480"/>
      <c r="H64" s="1480"/>
      <c r="I64" s="1480"/>
      <c r="J64" s="1466" t="s">
        <v>4001</v>
      </c>
      <c r="K64" s="1376">
        <f>SUM(I58:I62)</f>
        <v>0</v>
      </c>
    </row>
    <row r="65" spans="1:11">
      <c r="A65" s="4123"/>
      <c r="B65" s="4123"/>
      <c r="C65" s="4123"/>
      <c r="D65" s="4123"/>
      <c r="E65" s="4123"/>
      <c r="F65" s="4123"/>
      <c r="G65" s="4123"/>
      <c r="H65" s="4123"/>
      <c r="I65" s="4123"/>
      <c r="J65" s="4123"/>
    </row>
    <row r="66" spans="1:11">
      <c r="A66" s="4124" t="s">
        <v>4002</v>
      </c>
      <c r="B66" s="4125"/>
      <c r="C66" s="4125"/>
      <c r="D66" s="4125"/>
      <c r="E66" s="4125"/>
      <c r="F66" s="4125"/>
      <c r="G66" s="4125"/>
      <c r="H66" s="4125"/>
      <c r="I66" s="4125"/>
      <c r="J66" s="4125"/>
      <c r="K66" s="412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3.9" thickBot="1">
      <c r="A69" s="1380"/>
      <c r="B69" s="1340"/>
      <c r="C69" s="1340"/>
      <c r="D69" s="1340"/>
      <c r="E69" s="1340" t="s">
        <v>4005</v>
      </c>
      <c r="F69" s="1340"/>
      <c r="G69" s="1340"/>
      <c r="H69" s="1340"/>
      <c r="I69" s="1340"/>
      <c r="J69" s="1382"/>
      <c r="K69" s="1385">
        <f>K64</f>
        <v>0</v>
      </c>
    </row>
    <row r="70" spans="1:11" ht="13.9" thickBot="1">
      <c r="A70" s="1349"/>
      <c r="B70" s="1341"/>
      <c r="C70" s="4127" t="s">
        <v>4006</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5625" defaultRowHeight="12.75"/>
  <cols>
    <col min="1" max="1" width="3.3984375" style="432" customWidth="1"/>
    <col min="2" max="2" width="4.265625" style="432" customWidth="1"/>
    <col min="3" max="3" width="18.59765625" style="432" customWidth="1"/>
    <col min="4" max="4" width="2.73046875" style="432" customWidth="1"/>
    <col min="5" max="5" width="6.59765625" style="432" customWidth="1"/>
    <col min="6" max="6" width="39.265625" style="432" customWidth="1"/>
    <col min="7" max="8" width="8.3984375" style="432" customWidth="1"/>
    <col min="9" max="9" width="9.265625" style="432"/>
    <col min="10" max="10" width="14.265625" style="432" customWidth="1"/>
    <col min="11" max="16384" width="9.265625" style="432"/>
  </cols>
  <sheetData>
    <row r="1" spans="1:11" ht="13.15">
      <c r="A1" s="560" t="s">
        <v>2881</v>
      </c>
      <c r="H1" s="614" t="str">
        <f>'Sensitivity Analysis'!C8</f>
        <v>Dogwood Trail Apartments II</v>
      </c>
    </row>
    <row r="2" spans="1:11" ht="13.15">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22206.725999999999</v>
      </c>
      <c r="K4" s="1008"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10788697</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4080</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4085</v>
      </c>
      <c r="B27" s="4822"/>
      <c r="C27" s="4822"/>
      <c r="D27" s="4822"/>
      <c r="E27" s="4822"/>
      <c r="F27" s="4822"/>
      <c r="G27" s="4822"/>
      <c r="H27" s="4822"/>
    </row>
    <row r="28" spans="1:8" ht="9" customHeight="1">
      <c r="A28" s="611"/>
    </row>
    <row r="29" spans="1:8" ht="13.15">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4083</v>
      </c>
      <c r="E33" s="4822" t="s">
        <v>3121</v>
      </c>
      <c r="F33" s="4822"/>
      <c r="G33" s="4822"/>
      <c r="H33" s="4822"/>
    </row>
    <row r="34" spans="1:11" ht="12.75" customHeight="1">
      <c r="C34" s="1450"/>
      <c r="D34" s="1448" t="s">
        <v>2984</v>
      </c>
      <c r="E34" s="4825" t="s">
        <v>3122</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4083</v>
      </c>
      <c r="E38" s="4822" t="s">
        <v>3121</v>
      </c>
      <c r="F38" s="4822"/>
      <c r="G38" s="4822"/>
      <c r="H38" s="4822"/>
    </row>
    <row r="39" spans="1:11" ht="12.75" customHeight="1">
      <c r="C39" s="1450"/>
      <c r="D39" s="1448" t="s">
        <v>2984</v>
      </c>
      <c r="E39" s="4825" t="s">
        <v>3122</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4083</v>
      </c>
      <c r="E43" s="4822" t="s">
        <v>3121</v>
      </c>
      <c r="F43" s="4822"/>
      <c r="G43" s="4822"/>
      <c r="H43" s="4822"/>
    </row>
    <row r="44" spans="1:11" ht="12.75" customHeight="1">
      <c r="C44" s="1450"/>
      <c r="D44" s="1448" t="s">
        <v>2984</v>
      </c>
      <c r="E44" s="4825" t="s">
        <v>3122</v>
      </c>
      <c r="F44" s="4825"/>
      <c r="G44" s="4825"/>
      <c r="H44" s="4825"/>
    </row>
    <row r="45" spans="1:11" ht="6" customHeight="1">
      <c r="D45" s="639"/>
      <c r="E45" s="1025"/>
      <c r="F45" s="1025"/>
      <c r="G45" s="1025"/>
      <c r="H45" s="1025"/>
    </row>
    <row r="46" spans="1:11" ht="13.15">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4083</v>
      </c>
      <c r="E50" s="4822" t="s">
        <v>3121</v>
      </c>
      <c r="F50" s="4822"/>
      <c r="G50" s="4822"/>
      <c r="H50" s="4822"/>
    </row>
    <row r="51" spans="1:11" ht="12.75" customHeight="1">
      <c r="C51" s="1450"/>
      <c r="D51" s="642" t="s">
        <v>2984</v>
      </c>
      <c r="E51" s="4822" t="s">
        <v>3122</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4083</v>
      </c>
      <c r="E55" s="4822" t="s">
        <v>3121</v>
      </c>
      <c r="F55" s="4822"/>
      <c r="G55" s="4822"/>
      <c r="H55" s="4822"/>
    </row>
    <row r="56" spans="1:11" ht="12.75" customHeight="1">
      <c r="C56" s="1450"/>
      <c r="D56" s="1448" t="s">
        <v>2984</v>
      </c>
      <c r="E56" s="4825" t="s">
        <v>3122</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4083</v>
      </c>
      <c r="E60" s="4822" t="s">
        <v>3121</v>
      </c>
      <c r="F60" s="4822"/>
      <c r="G60" s="4822"/>
      <c r="H60" s="4822"/>
    </row>
    <row r="61" spans="1:11" ht="12.75" customHeight="1">
      <c r="C61" s="1450"/>
      <c r="D61" s="1448" t="s">
        <v>2984</v>
      </c>
      <c r="E61" s="4825" t="s">
        <v>3122</v>
      </c>
      <c r="F61" s="4825"/>
      <c r="G61" s="4825"/>
      <c r="H61" s="4825"/>
    </row>
    <row r="62" spans="1:11" ht="6" customHeight="1">
      <c r="D62" s="639"/>
      <c r="E62" s="1025"/>
      <c r="F62" s="1025"/>
      <c r="G62" s="1025"/>
      <c r="H62" s="1025"/>
    </row>
    <row r="63" spans="1:11" ht="13.15">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4083</v>
      </c>
      <c r="E67" s="4822" t="s">
        <v>3121</v>
      </c>
      <c r="F67" s="4822"/>
      <c r="G67" s="4822"/>
      <c r="H67" s="4822"/>
    </row>
    <row r="68" spans="1:8" ht="12.75" customHeight="1">
      <c r="C68" s="1450"/>
      <c r="D68" s="642" t="s">
        <v>2984</v>
      </c>
      <c r="E68" s="4822" t="s">
        <v>3122</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4083</v>
      </c>
      <c r="E72" s="4822" t="s">
        <v>3121</v>
      </c>
      <c r="F72" s="4822"/>
      <c r="G72" s="4822"/>
      <c r="H72" s="4822"/>
    </row>
    <row r="73" spans="1:8" ht="12.75" customHeight="1">
      <c r="C73" s="1450"/>
      <c r="D73" s="1448" t="s">
        <v>2984</v>
      </c>
      <c r="E73" s="4825" t="s">
        <v>3122</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4083</v>
      </c>
      <c r="E77" s="4822" t="s">
        <v>3121</v>
      </c>
      <c r="F77" s="4822"/>
      <c r="G77" s="4822"/>
      <c r="H77" s="4822"/>
    </row>
    <row r="78" spans="1:8" ht="12.75" customHeight="1">
      <c r="C78" s="1450"/>
      <c r="D78" s="1448" t="s">
        <v>2984</v>
      </c>
      <c r="E78" s="4825" t="s">
        <v>3122</v>
      </c>
      <c r="F78" s="4825"/>
      <c r="G78" s="4825"/>
      <c r="H78" s="4825"/>
    </row>
    <row r="79" spans="1:8" ht="6" customHeight="1">
      <c r="D79" s="639"/>
      <c r="E79" s="1025"/>
      <c r="F79" s="1025"/>
      <c r="G79" s="1025"/>
      <c r="H79" s="1025"/>
    </row>
    <row r="80" spans="1:8" ht="13.15">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4083</v>
      </c>
      <c r="E84" s="4822" t="s">
        <v>3121</v>
      </c>
      <c r="F84" s="4822"/>
      <c r="G84" s="4822"/>
      <c r="H84" s="4822"/>
    </row>
    <row r="85" spans="3:8" ht="12.75" customHeight="1">
      <c r="C85" s="1450"/>
      <c r="D85" s="642" t="s">
        <v>2984</v>
      </c>
      <c r="E85" s="4822" t="s">
        <v>3122</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4083</v>
      </c>
      <c r="E89" s="4822" t="s">
        <v>3121</v>
      </c>
      <c r="F89" s="4822"/>
      <c r="G89" s="4822"/>
      <c r="H89" s="4822"/>
    </row>
    <row r="90" spans="3:8" ht="12.75" customHeight="1">
      <c r="C90" s="1450"/>
      <c r="D90" s="1448" t="s">
        <v>2984</v>
      </c>
      <c r="E90" s="4825" t="s">
        <v>3122</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4083</v>
      </c>
      <c r="E94" s="4822" t="s">
        <v>3121</v>
      </c>
      <c r="F94" s="4822"/>
      <c r="G94" s="4822"/>
      <c r="H94" s="4822"/>
    </row>
    <row r="95" spans="3:8" ht="12.75" customHeight="1">
      <c r="C95" s="1450"/>
      <c r="D95" s="1448" t="s">
        <v>2984</v>
      </c>
      <c r="E95" s="4825" t="s">
        <v>3122</v>
      </c>
      <c r="F95" s="4825"/>
      <c r="G95" s="4825"/>
      <c r="H95" s="4825"/>
    </row>
    <row r="96" spans="3:8" ht="6" customHeight="1">
      <c r="D96" s="639"/>
      <c r="E96" s="1025"/>
      <c r="F96" s="1025"/>
      <c r="G96" s="1025"/>
      <c r="H96" s="1025"/>
    </row>
    <row r="97" spans="1:11" ht="13.15">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4086</v>
      </c>
      <c r="B106" s="4822"/>
      <c r="C106" s="4822"/>
      <c r="D106" s="4822"/>
      <c r="E106" s="4822"/>
      <c r="F106" s="4822"/>
      <c r="G106" s="4822"/>
      <c r="H106" s="4822"/>
    </row>
    <row r="107" spans="1:11" ht="9" customHeight="1">
      <c r="A107" s="611"/>
    </row>
    <row r="108" spans="1:11" ht="13.15">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4083</v>
      </c>
      <c r="E112" s="4822" t="s">
        <v>3121</v>
      </c>
      <c r="F112" s="4822"/>
      <c r="G112" s="4822"/>
      <c r="H112" s="4822"/>
    </row>
    <row r="113" spans="1:8" ht="12.75" customHeight="1">
      <c r="C113" s="1450"/>
      <c r="D113" s="1448" t="s">
        <v>2984</v>
      </c>
      <c r="E113" s="4825" t="s">
        <v>3122</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4083</v>
      </c>
      <c r="E117" s="4822" t="s">
        <v>3121</v>
      </c>
      <c r="F117" s="4822"/>
      <c r="G117" s="4822"/>
      <c r="H117" s="4822"/>
    </row>
    <row r="118" spans="1:8" ht="12.75" customHeight="1">
      <c r="C118" s="1450"/>
      <c r="D118" s="1448" t="s">
        <v>2984</v>
      </c>
      <c r="E118" s="4825" t="s">
        <v>3122</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4083</v>
      </c>
      <c r="E122" s="4822" t="s">
        <v>3121</v>
      </c>
      <c r="F122" s="4822"/>
      <c r="G122" s="4822"/>
      <c r="H122" s="4822"/>
    </row>
    <row r="123" spans="1:8" ht="12.75" customHeight="1">
      <c r="C123" s="1450"/>
      <c r="D123" s="1448" t="s">
        <v>2984</v>
      </c>
      <c r="E123" s="4825" t="s">
        <v>3122</v>
      </c>
      <c r="F123" s="4825"/>
      <c r="G123" s="4825"/>
      <c r="H123" s="4825"/>
    </row>
    <row r="124" spans="1:8" ht="6" customHeight="1">
      <c r="D124" s="639"/>
      <c r="E124" s="1025"/>
      <c r="F124" s="1025"/>
      <c r="G124" s="1025"/>
      <c r="H124" s="1025"/>
    </row>
    <row r="125" spans="1:8" ht="13.15">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4083</v>
      </c>
      <c r="E129" s="4822" t="s">
        <v>3121</v>
      </c>
      <c r="F129" s="4822"/>
      <c r="G129" s="4822"/>
      <c r="H129" s="4822"/>
    </row>
    <row r="130" spans="1:8" ht="12.75" customHeight="1">
      <c r="C130" s="1450"/>
      <c r="D130" s="642" t="s">
        <v>2984</v>
      </c>
      <c r="E130" s="4822" t="s">
        <v>3122</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4083</v>
      </c>
      <c r="E134" s="4822" t="s">
        <v>3121</v>
      </c>
      <c r="F134" s="4822"/>
      <c r="G134" s="4822"/>
      <c r="H134" s="4822"/>
    </row>
    <row r="135" spans="1:8" ht="12.75" customHeight="1">
      <c r="C135" s="1450"/>
      <c r="D135" s="1448" t="s">
        <v>2984</v>
      </c>
      <c r="E135" s="4825" t="s">
        <v>3122</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4083</v>
      </c>
      <c r="E139" s="4822" t="s">
        <v>3121</v>
      </c>
      <c r="F139" s="4822"/>
      <c r="G139" s="4822"/>
      <c r="H139" s="4822"/>
    </row>
    <row r="140" spans="1:8" ht="12.75" customHeight="1">
      <c r="C140" s="1450"/>
      <c r="D140" s="1448" t="s">
        <v>2984</v>
      </c>
      <c r="E140" s="4825" t="s">
        <v>3122</v>
      </c>
      <c r="F140" s="4825"/>
      <c r="G140" s="4825"/>
      <c r="H140" s="4825"/>
    </row>
    <row r="141" spans="1:8" ht="6" customHeight="1">
      <c r="D141" s="639"/>
      <c r="E141" s="1025"/>
      <c r="F141" s="1025"/>
      <c r="G141" s="1025"/>
      <c r="H141" s="1025"/>
    </row>
    <row r="142" spans="1:8" ht="13.15">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4083</v>
      </c>
      <c r="E146" s="4822" t="s">
        <v>3121</v>
      </c>
      <c r="F146" s="4822"/>
      <c r="G146" s="4822"/>
      <c r="H146" s="4822"/>
    </row>
    <row r="147" spans="1:8" ht="12.75" customHeight="1">
      <c r="C147" s="1450"/>
      <c r="D147" s="642" t="s">
        <v>2984</v>
      </c>
      <c r="E147" s="4822" t="s">
        <v>3122</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4083</v>
      </c>
      <c r="E151" s="4822" t="s">
        <v>3121</v>
      </c>
      <c r="F151" s="4822"/>
      <c r="G151" s="4822"/>
      <c r="H151" s="4822"/>
    </row>
    <row r="152" spans="1:8" ht="12.75" customHeight="1">
      <c r="C152" s="1450"/>
      <c r="D152" s="1448" t="s">
        <v>2984</v>
      </c>
      <c r="E152" s="4825" t="s">
        <v>3122</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4083</v>
      </c>
      <c r="E156" s="4822" t="s">
        <v>3121</v>
      </c>
      <c r="F156" s="4822"/>
      <c r="G156" s="4822"/>
      <c r="H156" s="4822"/>
    </row>
    <row r="157" spans="1:8" ht="12.75" customHeight="1">
      <c r="C157" s="1450"/>
      <c r="D157" s="1448" t="s">
        <v>2984</v>
      </c>
      <c r="E157" s="4825" t="s">
        <v>3122</v>
      </c>
      <c r="F157" s="4825"/>
      <c r="G157" s="4825"/>
      <c r="H157" s="4825"/>
    </row>
    <row r="158" spans="1:8" ht="6" customHeight="1">
      <c r="D158" s="639"/>
      <c r="E158" s="1025"/>
      <c r="F158" s="1025"/>
      <c r="G158" s="1025"/>
      <c r="H158" s="1025"/>
    </row>
    <row r="159" spans="1:8" ht="13.15">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4083</v>
      </c>
      <c r="E163" s="4822" t="s">
        <v>3121</v>
      </c>
      <c r="F163" s="4822"/>
      <c r="G163" s="4822"/>
      <c r="H163" s="4822"/>
    </row>
    <row r="164" spans="1:8" ht="12.75" customHeight="1">
      <c r="C164" s="1450"/>
      <c r="D164" s="642" t="s">
        <v>2984</v>
      </c>
      <c r="E164" s="4822" t="s">
        <v>3122</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4083</v>
      </c>
      <c r="E168" s="4822" t="s">
        <v>3121</v>
      </c>
      <c r="F168" s="4822"/>
      <c r="G168" s="4822"/>
      <c r="H168" s="4822"/>
    </row>
    <row r="169" spans="1:8" ht="12.75" customHeight="1">
      <c r="C169" s="1450"/>
      <c r="D169" s="1448" t="s">
        <v>2984</v>
      </c>
      <c r="E169" s="4825" t="s">
        <v>3122</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4083</v>
      </c>
      <c r="E173" s="4822" t="s">
        <v>3121</v>
      </c>
      <c r="F173" s="4822"/>
      <c r="G173" s="4822"/>
      <c r="H173" s="4822"/>
    </row>
    <row r="174" spans="1:8" ht="12.75" customHeight="1">
      <c r="C174" s="1450"/>
      <c r="D174" s="1448" t="s">
        <v>2984</v>
      </c>
      <c r="E174" s="4825" t="s">
        <v>3122</v>
      </c>
      <c r="F174" s="4825"/>
      <c r="G174" s="4825"/>
      <c r="H174" s="4825"/>
    </row>
    <row r="175" spans="1:8" ht="6" customHeight="1">
      <c r="D175" s="639"/>
      <c r="E175" s="1025"/>
      <c r="F175" s="1025"/>
      <c r="G175" s="1025"/>
      <c r="H175" s="1025"/>
    </row>
    <row r="176" spans="1:8" ht="13.15">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4087</v>
      </c>
      <c r="B185" s="4822"/>
      <c r="C185" s="4822"/>
      <c r="D185" s="4822"/>
      <c r="E185" s="4822"/>
      <c r="F185" s="4822"/>
      <c r="G185" s="4822"/>
      <c r="H185" s="4822"/>
    </row>
    <row r="186" spans="1:11" ht="9" customHeight="1">
      <c r="A186" s="611"/>
    </row>
    <row r="187" spans="1:11" ht="13.15">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4083</v>
      </c>
      <c r="E191" s="4822" t="s">
        <v>3121</v>
      </c>
      <c r="F191" s="4822"/>
      <c r="G191" s="4822"/>
      <c r="H191" s="4822"/>
    </row>
    <row r="192" spans="1:11" ht="12.75" customHeight="1">
      <c r="C192" s="1450"/>
      <c r="D192" s="1448" t="s">
        <v>2984</v>
      </c>
      <c r="E192" s="4825" t="s">
        <v>3122</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4083</v>
      </c>
      <c r="E196" s="4822" t="s">
        <v>3121</v>
      </c>
      <c r="F196" s="4822"/>
      <c r="G196" s="4822"/>
      <c r="H196" s="4822"/>
    </row>
    <row r="197" spans="1:8" ht="12.75" customHeight="1">
      <c r="C197" s="1450"/>
      <c r="D197" s="1448" t="s">
        <v>2984</v>
      </c>
      <c r="E197" s="4825" t="s">
        <v>3122</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4083</v>
      </c>
      <c r="E201" s="4822" t="s">
        <v>3121</v>
      </c>
      <c r="F201" s="4822"/>
      <c r="G201" s="4822"/>
      <c r="H201" s="4822"/>
    </row>
    <row r="202" spans="1:8" ht="12.75" customHeight="1">
      <c r="C202" s="1450"/>
      <c r="D202" s="1448" t="s">
        <v>2984</v>
      </c>
      <c r="E202" s="4825" t="s">
        <v>3122</v>
      </c>
      <c r="F202" s="4825"/>
      <c r="G202" s="4825"/>
      <c r="H202" s="4825"/>
    </row>
    <row r="203" spans="1:8" ht="6" customHeight="1">
      <c r="D203" s="639"/>
      <c r="E203" s="1025"/>
      <c r="F203" s="1025"/>
      <c r="G203" s="1025"/>
      <c r="H203" s="1025"/>
    </row>
    <row r="204" spans="1:8" ht="13.15">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4083</v>
      </c>
      <c r="E208" s="4822" t="s">
        <v>3121</v>
      </c>
      <c r="F208" s="4822"/>
      <c r="G208" s="4822"/>
      <c r="H208" s="4822"/>
    </row>
    <row r="209" spans="1:8" ht="12.75" customHeight="1">
      <c r="C209" s="1450"/>
      <c r="D209" s="642" t="s">
        <v>2984</v>
      </c>
      <c r="E209" s="4822" t="s">
        <v>3122</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4083</v>
      </c>
      <c r="E213" s="4822" t="s">
        <v>3121</v>
      </c>
      <c r="F213" s="4822"/>
      <c r="G213" s="4822"/>
      <c r="H213" s="4822"/>
    </row>
    <row r="214" spans="1:8" ht="12.75" customHeight="1">
      <c r="C214" s="1450"/>
      <c r="D214" s="1448" t="s">
        <v>2984</v>
      </c>
      <c r="E214" s="4825" t="s">
        <v>3122</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4083</v>
      </c>
      <c r="E218" s="4822" t="s">
        <v>3121</v>
      </c>
      <c r="F218" s="4822"/>
      <c r="G218" s="4822"/>
      <c r="H218" s="4822"/>
    </row>
    <row r="219" spans="1:8" ht="12.75" customHeight="1">
      <c r="C219" s="1450"/>
      <c r="D219" s="1448" t="s">
        <v>2984</v>
      </c>
      <c r="E219" s="4825" t="s">
        <v>3122</v>
      </c>
      <c r="F219" s="4825"/>
      <c r="G219" s="4825"/>
      <c r="H219" s="4825"/>
    </row>
    <row r="220" spans="1:8" ht="6" customHeight="1">
      <c r="D220" s="639"/>
      <c r="E220" s="1025"/>
      <c r="F220" s="1025"/>
      <c r="G220" s="1025"/>
      <c r="H220" s="1025"/>
    </row>
    <row r="221" spans="1:8" ht="13.15">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4083</v>
      </c>
      <c r="E225" s="4822" t="s">
        <v>3121</v>
      </c>
      <c r="F225" s="4822"/>
      <c r="G225" s="4822"/>
      <c r="H225" s="4822"/>
    </row>
    <row r="226" spans="1:8" ht="12.75" customHeight="1">
      <c r="C226" s="1450"/>
      <c r="D226" s="642" t="s">
        <v>2984</v>
      </c>
      <c r="E226" s="4822" t="s">
        <v>3122</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4083</v>
      </c>
      <c r="E230" s="4822" t="s">
        <v>3121</v>
      </c>
      <c r="F230" s="4822"/>
      <c r="G230" s="4822"/>
      <c r="H230" s="4822"/>
    </row>
    <row r="231" spans="1:8" ht="12.75" customHeight="1">
      <c r="C231" s="1450"/>
      <c r="D231" s="1448" t="s">
        <v>2984</v>
      </c>
      <c r="E231" s="4825" t="s">
        <v>3122</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4083</v>
      </c>
      <c r="E235" s="4822" t="s">
        <v>3121</v>
      </c>
      <c r="F235" s="4822"/>
      <c r="G235" s="4822"/>
      <c r="H235" s="4822"/>
    </row>
    <row r="236" spans="1:8" ht="12.75" customHeight="1">
      <c r="C236" s="1450"/>
      <c r="D236" s="1448" t="s">
        <v>2984</v>
      </c>
      <c r="E236" s="4825" t="s">
        <v>3122</v>
      </c>
      <c r="F236" s="4825"/>
      <c r="G236" s="4825"/>
      <c r="H236" s="4825"/>
    </row>
    <row r="237" spans="1:8" ht="6" customHeight="1">
      <c r="D237" s="639"/>
      <c r="E237" s="1025"/>
      <c r="F237" s="1025"/>
      <c r="G237" s="1025"/>
      <c r="H237" s="1025"/>
    </row>
    <row r="238" spans="1:8" ht="13.15">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4083</v>
      </c>
      <c r="E242" s="4822" t="s">
        <v>3121</v>
      </c>
      <c r="F242" s="4822"/>
      <c r="G242" s="4822"/>
      <c r="H242" s="4822"/>
    </row>
    <row r="243" spans="1:8" ht="12.75" customHeight="1">
      <c r="C243" s="1450"/>
      <c r="D243" s="642" t="s">
        <v>2984</v>
      </c>
      <c r="E243" s="4822" t="s">
        <v>3122</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4083</v>
      </c>
      <c r="E247" s="4822" t="s">
        <v>3121</v>
      </c>
      <c r="F247" s="4822"/>
      <c r="G247" s="4822"/>
      <c r="H247" s="4822"/>
    </row>
    <row r="248" spans="1:8" ht="12.75" customHeight="1">
      <c r="C248" s="1450"/>
      <c r="D248" s="1448" t="s">
        <v>2984</v>
      </c>
      <c r="E248" s="4825" t="s">
        <v>3122</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4083</v>
      </c>
      <c r="E252" s="4822" t="s">
        <v>3121</v>
      </c>
      <c r="F252" s="4822"/>
      <c r="G252" s="4822"/>
      <c r="H252" s="4822"/>
    </row>
    <row r="253" spans="1:8" ht="12.75" customHeight="1">
      <c r="C253" s="1450"/>
      <c r="D253" s="1448" t="s">
        <v>2984</v>
      </c>
      <c r="E253" s="4825" t="s">
        <v>3122</v>
      </c>
      <c r="F253" s="4825"/>
      <c r="G253" s="4825"/>
      <c r="H253" s="4825"/>
    </row>
    <row r="254" spans="1:8" ht="6" customHeight="1">
      <c r="D254" s="639"/>
      <c r="E254" s="1025"/>
      <c r="F254" s="1025"/>
      <c r="G254" s="1025"/>
      <c r="H254" s="1025"/>
    </row>
    <row r="255" spans="1:8" ht="13.15">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4084</v>
      </c>
      <c r="B264" s="4822"/>
      <c r="C264" s="4822"/>
      <c r="D264" s="4822"/>
      <c r="E264" s="4822"/>
      <c r="F264" s="4822"/>
      <c r="G264" s="4822"/>
      <c r="H264" s="4822"/>
    </row>
    <row r="265" spans="1:11" ht="9" customHeight="1">
      <c r="A265" s="611"/>
    </row>
    <row r="266" spans="1:11" ht="13.15">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4083</v>
      </c>
      <c r="E270" s="4822" t="s">
        <v>3121</v>
      </c>
      <c r="F270" s="4822"/>
      <c r="G270" s="4822"/>
      <c r="H270" s="4822"/>
    </row>
    <row r="271" spans="1:11" ht="12.75" customHeight="1">
      <c r="C271" s="1450"/>
      <c r="D271" s="1448" t="s">
        <v>2984</v>
      </c>
      <c r="E271" s="4825" t="s">
        <v>3122</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4083</v>
      </c>
      <c r="E275" s="4822" t="s">
        <v>3121</v>
      </c>
      <c r="F275" s="4822"/>
      <c r="G275" s="4822"/>
      <c r="H275" s="4822"/>
    </row>
    <row r="276" spans="1:8" ht="12.75" customHeight="1">
      <c r="C276" s="1450"/>
      <c r="D276" s="1448" t="s">
        <v>2984</v>
      </c>
      <c r="E276" s="4825" t="s">
        <v>3122</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4083</v>
      </c>
      <c r="E280" s="4822" t="s">
        <v>3121</v>
      </c>
      <c r="F280" s="4822"/>
      <c r="G280" s="4822"/>
      <c r="H280" s="4822"/>
    </row>
    <row r="281" spans="1:8" ht="12.75" customHeight="1">
      <c r="C281" s="1450"/>
      <c r="D281" s="1448" t="s">
        <v>2984</v>
      </c>
      <c r="E281" s="4825" t="s">
        <v>3122</v>
      </c>
      <c r="F281" s="4825"/>
      <c r="G281" s="4825"/>
      <c r="H281" s="4825"/>
    </row>
    <row r="282" spans="1:8" ht="6" customHeight="1">
      <c r="D282" s="639"/>
      <c r="E282" s="1025"/>
      <c r="F282" s="1025"/>
      <c r="G282" s="1025"/>
      <c r="H282" s="1025"/>
    </row>
    <row r="283" spans="1:8" ht="13.15">
      <c r="A283" s="620" t="s">
        <v>2980</v>
      </c>
      <c r="B283" s="637">
        <f>IF('Part V-Revenues &amp; Expenses'!$L$59=0,"",'Part V-Revenues &amp; Expenses'!$L$59)</f>
        <v>6</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4083</v>
      </c>
      <c r="E287" s="4822" t="s">
        <v>3121</v>
      </c>
      <c r="F287" s="4822"/>
      <c r="G287" s="4822"/>
      <c r="H287" s="4822"/>
    </row>
    <row r="288" spans="1:8" ht="12.75" customHeight="1">
      <c r="C288" s="1450"/>
      <c r="D288" s="642" t="s">
        <v>2984</v>
      </c>
      <c r="E288" s="4822" t="s">
        <v>3122</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4083</v>
      </c>
      <c r="E292" s="4822" t="s">
        <v>3121</v>
      </c>
      <c r="F292" s="4822"/>
      <c r="G292" s="4822"/>
      <c r="H292" s="4822"/>
    </row>
    <row r="293" spans="1:8" ht="12.75" customHeight="1">
      <c r="C293" s="1450"/>
      <c r="D293" s="1448" t="s">
        <v>2984</v>
      </c>
      <c r="E293" s="4825" t="s">
        <v>3122</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4083</v>
      </c>
      <c r="E297" s="4822" t="s">
        <v>3121</v>
      </c>
      <c r="F297" s="4822"/>
      <c r="G297" s="4822"/>
      <c r="H297" s="4822"/>
    </row>
    <row r="298" spans="1:8" ht="12.75" customHeight="1">
      <c r="C298" s="1450"/>
      <c r="D298" s="1448" t="s">
        <v>2984</v>
      </c>
      <c r="E298" s="4825" t="s">
        <v>3122</v>
      </c>
      <c r="F298" s="4825"/>
      <c r="G298" s="4825"/>
      <c r="H298" s="4825"/>
    </row>
    <row r="299" spans="1:8" ht="6" customHeight="1">
      <c r="D299" s="639"/>
      <c r="E299" s="1025"/>
      <c r="F299" s="1025"/>
      <c r="G299" s="1025"/>
      <c r="H299" s="1025"/>
    </row>
    <row r="300" spans="1:8" ht="13.15">
      <c r="A300" s="620" t="s">
        <v>2980</v>
      </c>
      <c r="B300" s="637">
        <f>IF('Part V-Revenues &amp; Expenses'!$M$59=0,"",'Part V-Revenues &amp; Expenses'!$M$59)</f>
        <v>6</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4083</v>
      </c>
      <c r="E304" s="4822" t="s">
        <v>3121</v>
      </c>
      <c r="F304" s="4822"/>
      <c r="G304" s="4822"/>
      <c r="H304" s="4822"/>
    </row>
    <row r="305" spans="1:8" ht="12.75" customHeight="1">
      <c r="C305" s="1450"/>
      <c r="D305" s="642" t="s">
        <v>2984</v>
      </c>
      <c r="E305" s="4822" t="s">
        <v>3122</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4083</v>
      </c>
      <c r="E309" s="4822" t="s">
        <v>3121</v>
      </c>
      <c r="F309" s="4822"/>
      <c r="G309" s="4822"/>
      <c r="H309" s="4822"/>
    </row>
    <row r="310" spans="1:8" ht="12.75" customHeight="1">
      <c r="C310" s="1450"/>
      <c r="D310" s="1448" t="s">
        <v>2984</v>
      </c>
      <c r="E310" s="4825" t="s">
        <v>3122</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4083</v>
      </c>
      <c r="E314" s="4822" t="s">
        <v>3121</v>
      </c>
      <c r="F314" s="4822"/>
      <c r="G314" s="4822"/>
      <c r="H314" s="4822"/>
    </row>
    <row r="315" spans="1:8" ht="12.75" customHeight="1">
      <c r="C315" s="1450"/>
      <c r="D315" s="1448" t="s">
        <v>2984</v>
      </c>
      <c r="E315" s="4825" t="s">
        <v>3122</v>
      </c>
      <c r="F315" s="4825"/>
      <c r="G315" s="4825"/>
      <c r="H315" s="4825"/>
    </row>
    <row r="316" spans="1:8" ht="6" customHeight="1">
      <c r="D316" s="639"/>
      <c r="E316" s="1025"/>
      <c r="F316" s="1025"/>
      <c r="G316" s="1025"/>
      <c r="H316" s="1025"/>
    </row>
    <row r="317" spans="1:8" ht="13.15">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4083</v>
      </c>
      <c r="E321" s="4822" t="s">
        <v>3121</v>
      </c>
      <c r="F321" s="4822"/>
      <c r="G321" s="4822"/>
      <c r="H321" s="4822"/>
    </row>
    <row r="322" spans="1:11" ht="12.75" customHeight="1">
      <c r="C322" s="1450"/>
      <c r="D322" s="642" t="s">
        <v>2984</v>
      </c>
      <c r="E322" s="4822" t="s">
        <v>3122</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4083</v>
      </c>
      <c r="E326" s="4822" t="s">
        <v>3121</v>
      </c>
      <c r="F326" s="4822"/>
      <c r="G326" s="4822"/>
      <c r="H326" s="4822"/>
    </row>
    <row r="327" spans="1:11" ht="12.75" customHeight="1">
      <c r="C327" s="1450"/>
      <c r="D327" s="1448" t="s">
        <v>2984</v>
      </c>
      <c r="E327" s="4825" t="s">
        <v>3122</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4083</v>
      </c>
      <c r="E331" s="4822" t="s">
        <v>3121</v>
      </c>
      <c r="F331" s="4822"/>
      <c r="G331" s="4822"/>
      <c r="H331" s="4822"/>
    </row>
    <row r="332" spans="1:11" ht="12.75" customHeight="1">
      <c r="C332" s="1450"/>
      <c r="D332" s="1448" t="s">
        <v>2984</v>
      </c>
      <c r="E332" s="4825" t="s">
        <v>3122</v>
      </c>
      <c r="F332" s="4825"/>
      <c r="G332" s="4825"/>
      <c r="H332" s="4825"/>
    </row>
    <row r="333" spans="1:11" ht="6" customHeight="1">
      <c r="D333" s="639"/>
      <c r="E333" s="1025"/>
      <c r="F333" s="1025"/>
      <c r="G333" s="1025"/>
      <c r="H333" s="1025"/>
    </row>
    <row r="334" spans="1:11" ht="13.15">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4088</v>
      </c>
      <c r="B344" s="4822"/>
      <c r="C344" s="4822"/>
      <c r="D344" s="4822"/>
      <c r="E344" s="4822"/>
      <c r="F344" s="4822"/>
      <c r="G344" s="4822"/>
      <c r="H344" s="4822"/>
    </row>
    <row r="345" spans="1:8" ht="9" customHeight="1">
      <c r="A345" s="611"/>
    </row>
    <row r="346" spans="1:8" ht="13.15">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4083</v>
      </c>
      <c r="E350" s="4822" t="s">
        <v>3121</v>
      </c>
      <c r="F350" s="4822"/>
      <c r="G350" s="4822"/>
      <c r="H350" s="4822"/>
    </row>
    <row r="351" spans="1:8" ht="12.75" customHeight="1">
      <c r="C351" s="1450"/>
      <c r="D351" s="1448" t="s">
        <v>2984</v>
      </c>
      <c r="E351" s="4825" t="s">
        <v>3122</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4083</v>
      </c>
      <c r="E355" s="4822" t="s">
        <v>3121</v>
      </c>
      <c r="F355" s="4822"/>
      <c r="G355" s="4822"/>
      <c r="H355" s="4822"/>
    </row>
    <row r="356" spans="1:8" ht="12.75" customHeight="1">
      <c r="C356" s="1450"/>
      <c r="D356" s="1448" t="s">
        <v>2984</v>
      </c>
      <c r="E356" s="4825" t="s">
        <v>3122</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4083</v>
      </c>
      <c r="E360" s="4822" t="s">
        <v>3121</v>
      </c>
      <c r="F360" s="4822"/>
      <c r="G360" s="4822"/>
      <c r="H360" s="4822"/>
    </row>
    <row r="361" spans="1:8" ht="12.75" customHeight="1">
      <c r="C361" s="1450"/>
      <c r="D361" s="1448" t="s">
        <v>2984</v>
      </c>
      <c r="E361" s="4825" t="s">
        <v>3122</v>
      </c>
      <c r="F361" s="4825"/>
      <c r="G361" s="4825"/>
      <c r="H361" s="4825"/>
    </row>
    <row r="362" spans="1:8" ht="6" customHeight="1">
      <c r="D362" s="639"/>
      <c r="E362" s="1025"/>
      <c r="F362" s="1025"/>
      <c r="G362" s="1025"/>
      <c r="H362" s="1025"/>
    </row>
    <row r="363" spans="1:8" ht="13.15">
      <c r="A363" s="620" t="s">
        <v>2980</v>
      </c>
      <c r="B363" s="637">
        <f>IF('Part V-Revenues &amp; Expenses'!$L$58=0,"",'Part V-Revenues &amp; Expenses'!$L$58)</f>
        <v>12</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4083</v>
      </c>
      <c r="E367" s="4822" t="s">
        <v>3121</v>
      </c>
      <c r="F367" s="4822"/>
      <c r="G367" s="4822"/>
      <c r="H367" s="4822"/>
    </row>
    <row r="368" spans="1:8" ht="12.75" customHeight="1">
      <c r="C368" s="1450"/>
      <c r="D368" s="642" t="s">
        <v>2984</v>
      </c>
      <c r="E368" s="4822" t="s">
        <v>3122</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4083</v>
      </c>
      <c r="E372" s="4822" t="s">
        <v>3121</v>
      </c>
      <c r="F372" s="4822"/>
      <c r="G372" s="4822"/>
      <c r="H372" s="4822"/>
    </row>
    <row r="373" spans="1:8" ht="12.75" customHeight="1">
      <c r="C373" s="1450"/>
      <c r="D373" s="1448" t="s">
        <v>2984</v>
      </c>
      <c r="E373" s="4825" t="s">
        <v>3122</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4083</v>
      </c>
      <c r="E377" s="4822" t="s">
        <v>3121</v>
      </c>
      <c r="F377" s="4822"/>
      <c r="G377" s="4822"/>
      <c r="H377" s="4822"/>
    </row>
    <row r="378" spans="1:8" ht="12.75" customHeight="1">
      <c r="C378" s="1450"/>
      <c r="D378" s="1448" t="s">
        <v>2984</v>
      </c>
      <c r="E378" s="4825" t="s">
        <v>3122</v>
      </c>
      <c r="F378" s="4825"/>
      <c r="G378" s="4825"/>
      <c r="H378" s="4825"/>
    </row>
    <row r="379" spans="1:8" ht="6" customHeight="1">
      <c r="D379" s="639"/>
      <c r="E379" s="1025"/>
      <c r="F379" s="1025"/>
      <c r="G379" s="1025"/>
      <c r="H379" s="1025"/>
    </row>
    <row r="380" spans="1:8" ht="13.15">
      <c r="A380" s="620" t="s">
        <v>2980</v>
      </c>
      <c r="B380" s="637">
        <f>IF('Part V-Revenues &amp; Expenses'!$M$58=0,"",'Part V-Revenues &amp; Expenses'!$M$58)</f>
        <v>12</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4083</v>
      </c>
      <c r="E384" s="4822" t="s">
        <v>3121</v>
      </c>
      <c r="F384" s="4822"/>
      <c r="G384" s="4822"/>
      <c r="H384" s="4822"/>
    </row>
    <row r="385" spans="1:8" ht="12.75" customHeight="1">
      <c r="C385" s="1450"/>
      <c r="D385" s="642" t="s">
        <v>2984</v>
      </c>
      <c r="E385" s="4822" t="s">
        <v>3122</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4083</v>
      </c>
      <c r="E389" s="4822" t="s">
        <v>3121</v>
      </c>
      <c r="F389" s="4822"/>
      <c r="G389" s="4822"/>
      <c r="H389" s="4822"/>
    </row>
    <row r="390" spans="1:8" ht="12.75" customHeight="1">
      <c r="C390" s="1450"/>
      <c r="D390" s="1448" t="s">
        <v>2984</v>
      </c>
      <c r="E390" s="4825" t="s">
        <v>3122</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4083</v>
      </c>
      <c r="E394" s="4822" t="s">
        <v>3121</v>
      </c>
      <c r="F394" s="4822"/>
      <c r="G394" s="4822"/>
      <c r="H394" s="4822"/>
    </row>
    <row r="395" spans="1:8" ht="12.75" customHeight="1">
      <c r="C395" s="1450"/>
      <c r="D395" s="1448" t="s">
        <v>2984</v>
      </c>
      <c r="E395" s="4825" t="s">
        <v>3122</v>
      </c>
      <c r="F395" s="4825"/>
      <c r="G395" s="4825"/>
      <c r="H395" s="4825"/>
    </row>
    <row r="396" spans="1:8" ht="6" customHeight="1">
      <c r="D396" s="639"/>
      <c r="E396" s="1025"/>
      <c r="F396" s="1025"/>
      <c r="G396" s="1025"/>
      <c r="H396" s="1025"/>
    </row>
    <row r="397" spans="1:8" ht="13.15">
      <c r="A397" s="620" t="s">
        <v>2980</v>
      </c>
      <c r="B397" s="637" t="str">
        <f>IF('Part V-Revenues &amp; Expenses'!$N$58=0,"",'Part V-Revenues &amp; Expenses'!$N$58)</f>
        <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4083</v>
      </c>
      <c r="E401" s="4822" t="s">
        <v>3121</v>
      </c>
      <c r="F401" s="4822"/>
      <c r="G401" s="4822"/>
      <c r="H401" s="4822"/>
    </row>
    <row r="402" spans="1:11" ht="12.75" customHeight="1">
      <c r="C402" s="1450"/>
      <c r="D402" s="642" t="s">
        <v>2984</v>
      </c>
      <c r="E402" s="4822" t="s">
        <v>3122</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4083</v>
      </c>
      <c r="E406" s="4822" t="s">
        <v>3121</v>
      </c>
      <c r="F406" s="4822"/>
      <c r="G406" s="4822"/>
      <c r="H406" s="4822"/>
    </row>
    <row r="407" spans="1:11" ht="12.75" customHeight="1">
      <c r="C407" s="1450"/>
      <c r="D407" s="1448" t="s">
        <v>2984</v>
      </c>
      <c r="E407" s="4825" t="s">
        <v>3122</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4083</v>
      </c>
      <c r="E411" s="4822" t="s">
        <v>3121</v>
      </c>
      <c r="F411" s="4822"/>
      <c r="G411" s="4822"/>
      <c r="H411" s="4822"/>
    </row>
    <row r="412" spans="1:11" ht="12.75" customHeight="1">
      <c r="C412" s="1450"/>
      <c r="D412" s="1448" t="s">
        <v>2984</v>
      </c>
      <c r="E412" s="4825" t="s">
        <v>3122</v>
      </c>
      <c r="F412" s="4825"/>
      <c r="G412" s="4825"/>
      <c r="H412" s="4825"/>
    </row>
    <row r="413" spans="1:11" ht="6" customHeight="1">
      <c r="D413" s="639"/>
      <c r="E413" s="1025"/>
      <c r="F413" s="1025"/>
      <c r="G413" s="1025"/>
      <c r="H413" s="1025"/>
    </row>
    <row r="414" spans="1:11" ht="13.15">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4089</v>
      </c>
      <c r="B423" s="4822"/>
      <c r="C423" s="4822"/>
      <c r="D423" s="4822"/>
      <c r="E423" s="4822"/>
      <c r="F423" s="4822"/>
      <c r="G423" s="4822"/>
      <c r="H423" s="4822"/>
    </row>
    <row r="424" spans="1:8" ht="9" customHeight="1">
      <c r="A424" s="611"/>
    </row>
    <row r="425" spans="1:8" ht="13.15">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4083</v>
      </c>
      <c r="E429" s="4822" t="s">
        <v>3121</v>
      </c>
      <c r="F429" s="4822"/>
      <c r="G429" s="4822"/>
      <c r="H429" s="4822"/>
    </row>
    <row r="430" spans="1:8" ht="12.75" customHeight="1">
      <c r="C430" s="1450"/>
      <c r="D430" s="1448" t="s">
        <v>2984</v>
      </c>
      <c r="E430" s="4825" t="s">
        <v>3122</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4083</v>
      </c>
      <c r="E434" s="4822" t="s">
        <v>3121</v>
      </c>
      <c r="F434" s="4822"/>
      <c r="G434" s="4822"/>
      <c r="H434" s="4822"/>
    </row>
    <row r="435" spans="1:8" ht="12.75" customHeight="1">
      <c r="C435" s="1450"/>
      <c r="D435" s="1448" t="s">
        <v>2984</v>
      </c>
      <c r="E435" s="4825" t="s">
        <v>3122</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4083</v>
      </c>
      <c r="E439" s="4822" t="s">
        <v>3121</v>
      </c>
      <c r="F439" s="4822"/>
      <c r="G439" s="4822"/>
      <c r="H439" s="4822"/>
    </row>
    <row r="440" spans="1:8" ht="12.75" customHeight="1">
      <c r="C440" s="1450"/>
      <c r="D440" s="1448" t="s">
        <v>2984</v>
      </c>
      <c r="E440" s="4825" t="s">
        <v>3122</v>
      </c>
      <c r="F440" s="4825"/>
      <c r="G440" s="4825"/>
      <c r="H440" s="4825"/>
    </row>
    <row r="441" spans="1:8" ht="6" customHeight="1">
      <c r="D441" s="639"/>
      <c r="E441" s="1025"/>
      <c r="F441" s="1025"/>
      <c r="G441" s="1025"/>
      <c r="H441" s="1025"/>
    </row>
    <row r="442" spans="1:8" ht="13.15">
      <c r="A442" s="620" t="s">
        <v>2980</v>
      </c>
      <c r="B442" s="637">
        <f>IF('Part V-Revenues &amp; Expenses'!$L$57=0,"",'Part V-Revenues &amp; Expenses'!$L$57)</f>
        <v>2</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4083</v>
      </c>
      <c r="E446" s="4822" t="s">
        <v>3121</v>
      </c>
      <c r="F446" s="4822"/>
      <c r="G446" s="4822"/>
      <c r="H446" s="4822"/>
    </row>
    <row r="447" spans="1:8" ht="12.75" customHeight="1">
      <c r="C447" s="1450"/>
      <c r="D447" s="642" t="s">
        <v>2984</v>
      </c>
      <c r="E447" s="4822" t="s">
        <v>3122</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4083</v>
      </c>
      <c r="E451" s="4822" t="s">
        <v>3121</v>
      </c>
      <c r="F451" s="4822"/>
      <c r="G451" s="4822"/>
      <c r="H451" s="4822"/>
    </row>
    <row r="452" spans="1:8" ht="12.75" customHeight="1">
      <c r="C452" s="1450"/>
      <c r="D452" s="1448" t="s">
        <v>2984</v>
      </c>
      <c r="E452" s="4825" t="s">
        <v>3122</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4083</v>
      </c>
      <c r="E456" s="4822" t="s">
        <v>3121</v>
      </c>
      <c r="F456" s="4822"/>
      <c r="G456" s="4822"/>
      <c r="H456" s="4822"/>
    </row>
    <row r="457" spans="1:8" ht="12.75" customHeight="1">
      <c r="C457" s="1450"/>
      <c r="D457" s="1448" t="s">
        <v>2984</v>
      </c>
      <c r="E457" s="4825" t="s">
        <v>3122</v>
      </c>
      <c r="F457" s="4825"/>
      <c r="G457" s="4825"/>
      <c r="H457" s="4825"/>
    </row>
    <row r="458" spans="1:8" ht="6" customHeight="1">
      <c r="D458" s="639"/>
      <c r="E458" s="1025"/>
      <c r="F458" s="1025"/>
      <c r="G458" s="1025"/>
      <c r="H458" s="1025"/>
    </row>
    <row r="459" spans="1:8" ht="13.15">
      <c r="A459" s="620" t="s">
        <v>2980</v>
      </c>
      <c r="B459" s="637">
        <f>IF('Part V-Revenues &amp; Expenses'!$M$57=0,"",'Part V-Revenues &amp; Expenses'!$M$57)</f>
        <v>2</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4083</v>
      </c>
      <c r="E463" s="4822" t="s">
        <v>3121</v>
      </c>
      <c r="F463" s="4822"/>
      <c r="G463" s="4822"/>
      <c r="H463" s="4822"/>
    </row>
    <row r="464" spans="1:8" ht="12.75" customHeight="1">
      <c r="C464" s="1450"/>
      <c r="D464" s="642" t="s">
        <v>2984</v>
      </c>
      <c r="E464" s="4822" t="s">
        <v>3122</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4083</v>
      </c>
      <c r="E468" s="4822" t="s">
        <v>3121</v>
      </c>
      <c r="F468" s="4822"/>
      <c r="G468" s="4822"/>
      <c r="H468" s="4822"/>
    </row>
    <row r="469" spans="1:8" ht="12.75" customHeight="1">
      <c r="C469" s="1450"/>
      <c r="D469" s="1448" t="s">
        <v>2984</v>
      </c>
      <c r="E469" s="4825" t="s">
        <v>3122</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4083</v>
      </c>
      <c r="E473" s="4822" t="s">
        <v>3121</v>
      </c>
      <c r="F473" s="4822"/>
      <c r="G473" s="4822"/>
      <c r="H473" s="4822"/>
    </row>
    <row r="474" spans="1:8" ht="12.75" customHeight="1">
      <c r="C474" s="1450"/>
      <c r="D474" s="1448" t="s">
        <v>2984</v>
      </c>
      <c r="E474" s="4825" t="s">
        <v>3122</v>
      </c>
      <c r="F474" s="4825"/>
      <c r="G474" s="4825"/>
      <c r="H474" s="4825"/>
    </row>
    <row r="475" spans="1:8" ht="6" customHeight="1">
      <c r="D475" s="639"/>
      <c r="E475" s="1025"/>
      <c r="F475" s="1025"/>
      <c r="G475" s="1025"/>
      <c r="H475" s="1025"/>
    </row>
    <row r="476" spans="1:8" ht="13.15">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4083</v>
      </c>
      <c r="E480" s="4822" t="s">
        <v>3121</v>
      </c>
      <c r="F480" s="4822"/>
      <c r="G480" s="4822"/>
      <c r="H480" s="4822"/>
    </row>
    <row r="481" spans="1:11" ht="12.75" customHeight="1">
      <c r="C481" s="1450"/>
      <c r="D481" s="642" t="s">
        <v>2984</v>
      </c>
      <c r="E481" s="4822" t="s">
        <v>3122</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4083</v>
      </c>
      <c r="E485" s="4822" t="s">
        <v>3121</v>
      </c>
      <c r="F485" s="4822"/>
      <c r="G485" s="4822"/>
      <c r="H485" s="4822"/>
    </row>
    <row r="486" spans="1:11" ht="12.75" customHeight="1">
      <c r="C486" s="1450"/>
      <c r="D486" s="1448" t="s">
        <v>2984</v>
      </c>
      <c r="E486" s="4825" t="s">
        <v>3122</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4083</v>
      </c>
      <c r="E490" s="4822" t="s">
        <v>3121</v>
      </c>
      <c r="F490" s="4822"/>
      <c r="G490" s="4822"/>
      <c r="H490" s="4822"/>
    </row>
    <row r="491" spans="1:11" ht="12.75" customHeight="1">
      <c r="C491" s="1450"/>
      <c r="D491" s="1448" t="s">
        <v>2984</v>
      </c>
      <c r="E491" s="4825" t="s">
        <v>3122</v>
      </c>
      <c r="F491" s="4825"/>
      <c r="G491" s="4825"/>
      <c r="H491" s="4825"/>
    </row>
    <row r="492" spans="1:11" ht="6" customHeight="1">
      <c r="D492" s="639"/>
      <c r="E492" s="1025"/>
      <c r="F492" s="1025"/>
      <c r="G492" s="1025"/>
      <c r="H492" s="1025"/>
    </row>
    <row r="493" spans="1:11" ht="13.15">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4090</v>
      </c>
      <c r="B502" s="4822"/>
      <c r="C502" s="4822"/>
      <c r="D502" s="4822"/>
      <c r="E502" s="4822"/>
      <c r="F502" s="4822"/>
      <c r="G502" s="4822"/>
      <c r="H502" s="4822"/>
    </row>
    <row r="503" spans="1:8" ht="9" customHeight="1">
      <c r="A503" s="611"/>
    </row>
    <row r="504" spans="1:8" ht="13.15">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4083</v>
      </c>
      <c r="E508" s="4822" t="s">
        <v>3121</v>
      </c>
      <c r="F508" s="4822"/>
      <c r="G508" s="4822"/>
      <c r="H508" s="4822"/>
    </row>
    <row r="509" spans="1:8" ht="12.75" customHeight="1">
      <c r="C509" s="1450"/>
      <c r="D509" s="1448" t="s">
        <v>2984</v>
      </c>
      <c r="E509" s="4825" t="s">
        <v>3122</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4083</v>
      </c>
      <c r="E513" s="4822" t="s">
        <v>3121</v>
      </c>
      <c r="F513" s="4822"/>
      <c r="G513" s="4822"/>
      <c r="H513" s="4822"/>
    </row>
    <row r="514" spans="1:8" ht="12.75" customHeight="1">
      <c r="C514" s="1450"/>
      <c r="D514" s="1448" t="s">
        <v>2984</v>
      </c>
      <c r="E514" s="4825" t="s">
        <v>3122</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4083</v>
      </c>
      <c r="E518" s="4822" t="s">
        <v>3121</v>
      </c>
      <c r="F518" s="4822"/>
      <c r="G518" s="4822"/>
      <c r="H518" s="4822"/>
    </row>
    <row r="519" spans="1:8" ht="12.75" customHeight="1">
      <c r="C519" s="1450"/>
      <c r="D519" s="1448" t="s">
        <v>2984</v>
      </c>
      <c r="E519" s="4825" t="s">
        <v>3122</v>
      </c>
      <c r="F519" s="4825"/>
      <c r="G519" s="4825"/>
      <c r="H519" s="4825"/>
    </row>
    <row r="520" spans="1:8" ht="6" customHeight="1">
      <c r="D520" s="639"/>
      <c r="E520" s="1025"/>
      <c r="F520" s="1025"/>
      <c r="G520" s="1025"/>
      <c r="H520" s="1025"/>
    </row>
    <row r="521" spans="1:8" ht="13.15">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4083</v>
      </c>
      <c r="E525" s="4822" t="s">
        <v>3121</v>
      </c>
      <c r="F525" s="4822"/>
      <c r="G525" s="4822"/>
      <c r="H525" s="4822"/>
    </row>
    <row r="526" spans="1:8" ht="12.75" customHeight="1">
      <c r="C526" s="1450"/>
      <c r="D526" s="642" t="s">
        <v>2984</v>
      </c>
      <c r="E526" s="4822" t="s">
        <v>3122</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4083</v>
      </c>
      <c r="E530" s="4822" t="s">
        <v>3121</v>
      </c>
      <c r="F530" s="4822"/>
      <c r="G530" s="4822"/>
      <c r="H530" s="4822"/>
    </row>
    <row r="531" spans="1:8" ht="12.75" customHeight="1">
      <c r="C531" s="1450"/>
      <c r="D531" s="1448" t="s">
        <v>2984</v>
      </c>
      <c r="E531" s="4825" t="s">
        <v>3122</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4083</v>
      </c>
      <c r="E535" s="4822" t="s">
        <v>3121</v>
      </c>
      <c r="F535" s="4822"/>
      <c r="G535" s="4822"/>
      <c r="H535" s="4822"/>
    </row>
    <row r="536" spans="1:8" ht="12.75" customHeight="1">
      <c r="C536" s="1450"/>
      <c r="D536" s="1448" t="s">
        <v>2984</v>
      </c>
      <c r="E536" s="4825" t="s">
        <v>3122</v>
      </c>
      <c r="F536" s="4825"/>
      <c r="G536" s="4825"/>
      <c r="H536" s="4825"/>
    </row>
    <row r="537" spans="1:8" ht="6" customHeight="1">
      <c r="D537" s="639"/>
      <c r="E537" s="1025"/>
      <c r="F537" s="1025"/>
      <c r="G537" s="1025"/>
      <c r="H537" s="1025"/>
    </row>
    <row r="538" spans="1:8" ht="13.15">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4083</v>
      </c>
      <c r="E542" s="4822" t="s">
        <v>3121</v>
      </c>
      <c r="F542" s="4822"/>
      <c r="G542" s="4822"/>
      <c r="H542" s="4822"/>
    </row>
    <row r="543" spans="1:8" ht="12.75" customHeight="1">
      <c r="C543" s="1450"/>
      <c r="D543" s="642" t="s">
        <v>2984</v>
      </c>
      <c r="E543" s="4822" t="s">
        <v>3122</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4083</v>
      </c>
      <c r="E547" s="4822" t="s">
        <v>3121</v>
      </c>
      <c r="F547" s="4822"/>
      <c r="G547" s="4822"/>
      <c r="H547" s="4822"/>
    </row>
    <row r="548" spans="1:8" ht="12.75" customHeight="1">
      <c r="C548" s="1450"/>
      <c r="D548" s="1448" t="s">
        <v>2984</v>
      </c>
      <c r="E548" s="4825" t="s">
        <v>3122</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4083</v>
      </c>
      <c r="E552" s="4822" t="s">
        <v>3121</v>
      </c>
      <c r="F552" s="4822"/>
      <c r="G552" s="4822"/>
      <c r="H552" s="4822"/>
    </row>
    <row r="553" spans="1:8" ht="12.75" customHeight="1">
      <c r="C553" s="1450"/>
      <c r="D553" s="1448" t="s">
        <v>2984</v>
      </c>
      <c r="E553" s="4825" t="s">
        <v>3122</v>
      </c>
      <c r="F553" s="4825"/>
      <c r="G553" s="4825"/>
      <c r="H553" s="4825"/>
    </row>
    <row r="554" spans="1:8" ht="6" customHeight="1">
      <c r="D554" s="639"/>
      <c r="E554" s="1025"/>
      <c r="F554" s="1025"/>
      <c r="G554" s="1025"/>
      <c r="H554" s="1025"/>
    </row>
    <row r="555" spans="1:8" ht="13.15">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4083</v>
      </c>
      <c r="E559" s="4822" t="s">
        <v>3121</v>
      </c>
      <c r="F559" s="4822"/>
      <c r="G559" s="4822"/>
      <c r="H559" s="4822"/>
    </row>
    <row r="560" spans="1:8" ht="12.75" customHeight="1">
      <c r="C560" s="1450"/>
      <c r="D560" s="642" t="s">
        <v>2984</v>
      </c>
      <c r="E560" s="4822" t="s">
        <v>3122</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4083</v>
      </c>
      <c r="E564" s="4822" t="s">
        <v>3121</v>
      </c>
      <c r="F564" s="4822"/>
      <c r="G564" s="4822"/>
      <c r="H564" s="4822"/>
    </row>
    <row r="565" spans="1:11" ht="12.75" customHeight="1">
      <c r="C565" s="1450"/>
      <c r="D565" s="1448" t="s">
        <v>2984</v>
      </c>
      <c r="E565" s="4825" t="s">
        <v>3122</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4083</v>
      </c>
      <c r="E569" s="4822" t="s">
        <v>3121</v>
      </c>
      <c r="F569" s="4822"/>
      <c r="G569" s="4822"/>
      <c r="H569" s="4822"/>
    </row>
    <row r="570" spans="1:11" ht="12.75" customHeight="1">
      <c r="C570" s="1450"/>
      <c r="D570" s="1448" t="s">
        <v>2984</v>
      </c>
      <c r="E570" s="4825" t="s">
        <v>3122</v>
      </c>
      <c r="F570" s="4825"/>
      <c r="G570" s="4825"/>
      <c r="H570" s="4825"/>
    </row>
    <row r="571" spans="1:11" ht="6" customHeight="1">
      <c r="D571" s="639"/>
      <c r="E571" s="1025"/>
      <c r="F571" s="1025"/>
      <c r="G571" s="1025"/>
      <c r="H571" s="1025"/>
    </row>
    <row r="572" spans="1:11" ht="13.15">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5625" defaultRowHeight="12.75"/>
  <cols>
    <col min="1" max="1" width="2.73046875" style="145" customWidth="1"/>
    <col min="2" max="4" width="1.73046875" style="145" customWidth="1"/>
    <col min="5" max="5" width="14.73046875" style="145" customWidth="1"/>
    <col min="6" max="6" width="6.265625" style="145" customWidth="1"/>
    <col min="7" max="7" width="2.73046875" style="145" customWidth="1"/>
    <col min="8" max="8" width="8" style="145" customWidth="1"/>
    <col min="9" max="9" width="6.265625" style="145" customWidth="1"/>
    <col min="10" max="10" width="8.265625" style="145" customWidth="1"/>
    <col min="11" max="11" width="9.73046875" style="145" customWidth="1"/>
    <col min="12" max="13" width="8.73046875" style="145" customWidth="1"/>
    <col min="14" max="14" width="9.3984375" style="145" customWidth="1"/>
    <col min="15" max="15" width="9.73046875" style="145" customWidth="1"/>
    <col min="16" max="19" width="6.265625" style="145" customWidth="1"/>
    <col min="20" max="24" width="11.59765625" style="145" customWidth="1"/>
    <col min="25" max="25" width="9.265625" style="145"/>
    <col min="26" max="26" width="9.265625" style="1707"/>
    <col min="27" max="16384" width="9.26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Dogwood Trail Apartments II, Albany, Dougherty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1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5625" defaultRowHeight="15"/>
  <cols>
    <col min="1" max="1" width="4.59765625" style="432" customWidth="1"/>
    <col min="2" max="2" width="6" style="432" customWidth="1"/>
    <col min="3" max="3" width="8.265625" style="432" customWidth="1"/>
    <col min="4" max="4" width="7.3984375" style="432" customWidth="1"/>
    <col min="5" max="5" width="7.73046875" style="432" customWidth="1"/>
    <col min="6" max="7" width="6.73046875" style="432" customWidth="1"/>
    <col min="8" max="8" width="5" style="432" customWidth="1"/>
    <col min="9" max="10" width="6.73046875" style="432" customWidth="1"/>
    <col min="11" max="11" width="3.265625" style="1492" customWidth="1"/>
    <col min="12" max="13" width="6.73046875" style="432" customWidth="1"/>
    <col min="14" max="14" width="8.265625" style="432" customWidth="1"/>
    <col min="15" max="15" width="9.265625" style="432"/>
    <col min="16" max="17" width="5.59765625" style="432" customWidth="1"/>
    <col min="18" max="18" width="8.265625" style="432" customWidth="1"/>
    <col min="19" max="19" width="5.73046875" style="609" customWidth="1"/>
    <col min="20" max="20" width="5.73046875" style="432" customWidth="1"/>
    <col min="21" max="21" width="3.73046875" style="432" customWidth="1"/>
    <col min="22" max="23" width="5.3984375" style="432" customWidth="1"/>
    <col min="24" max="16384" width="9.265625" style="432"/>
  </cols>
  <sheetData>
    <row r="1" spans="1:14">
      <c r="A1" s="510" t="s">
        <v>2881</v>
      </c>
      <c r="H1" s="614" t="str">
        <f>'Sensitivity Analysis'!C8</f>
        <v>Dogwood Trail Apartments II</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22206.725999999999</v>
      </c>
      <c r="M4" s="4868"/>
      <c r="N4" s="1493" t="s">
        <v>3663</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10788697</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4080</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2</v>
      </c>
      <c r="G26" s="1585">
        <f>'Part V-Revenues &amp; Expenses'!M57</f>
        <v>2</v>
      </c>
      <c r="H26" s="1585">
        <f>'Part V-Revenues &amp; Expenses'!N57</f>
        <v>0</v>
      </c>
      <c r="I26" s="1585">
        <f>'Part V-Revenues &amp; Expenses'!O57</f>
        <v>0</v>
      </c>
      <c r="J26" s="1586">
        <f>'Part V-Revenues &amp; Expenses'!P57</f>
        <v>4</v>
      </c>
      <c r="K26" s="432"/>
      <c r="S26" s="432"/>
    </row>
    <row r="27" spans="1:19" ht="15" customHeight="1">
      <c r="C27" s="736" t="s">
        <v>1081</v>
      </c>
      <c r="D27" s="439"/>
      <c r="E27" s="1584">
        <f>'Part V-Revenues &amp; Expenses'!K58</f>
        <v>0</v>
      </c>
      <c r="F27" s="1585">
        <f>'Part V-Revenues &amp; Expenses'!L58</f>
        <v>12</v>
      </c>
      <c r="G27" s="1585">
        <f>'Part V-Revenues &amp; Expenses'!M58</f>
        <v>12</v>
      </c>
      <c r="H27" s="1585">
        <f>'Part V-Revenues &amp; Expenses'!N58</f>
        <v>0</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6</v>
      </c>
      <c r="G28" s="1585">
        <f>'Part V-Revenues &amp; Expenses'!M59</f>
        <v>6</v>
      </c>
      <c r="H28" s="1585">
        <f>'Part V-Revenues &amp; Expenses'!N59</f>
        <v>0</v>
      </c>
      <c r="I28" s="1585">
        <f>'Part V-Revenues &amp; Expenses'!O59</f>
        <v>0</v>
      </c>
      <c r="J28" s="1586">
        <f>'Part V-Revenues &amp; Expenses'!P59</f>
        <v>12</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20</v>
      </c>
      <c r="G32" s="1579">
        <f>'Part V-Revenues &amp; Expenses'!M63</f>
        <v>20</v>
      </c>
      <c r="H32" s="1579">
        <f>'Part V-Revenues &amp; Expenses'!N63</f>
        <v>0</v>
      </c>
      <c r="I32" s="1579">
        <f>'Part V-Revenues &amp; Expenses'!O63</f>
        <v>0</v>
      </c>
      <c r="J32" s="1588">
        <f>'Part V-Revenues &amp; Expenses'!P63</f>
        <v>40</v>
      </c>
      <c r="K32" s="432"/>
      <c r="S32" s="432"/>
    </row>
    <row r="33" spans="1:12" s="432" customFormat="1" ht="13.15" customHeight="1" thickBot="1">
      <c r="K33" s="1492"/>
    </row>
    <row r="34" spans="1:12" s="432" customFormat="1" ht="14.25" customHeight="1" thickBot="1">
      <c r="A34" s="1492"/>
      <c r="B34" s="4842" t="s">
        <v>6171</v>
      </c>
      <c r="E34" s="4843" t="s">
        <v>6067</v>
      </c>
      <c r="F34" s="4844"/>
      <c r="G34" s="4844"/>
      <c r="H34" s="4844"/>
      <c r="I34" s="4844"/>
      <c r="J34" s="4844"/>
      <c r="K34" s="4844"/>
      <c r="L34" s="4845"/>
    </row>
    <row r="35" spans="1:12" s="432" customFormat="1" ht="14.25" customHeight="1">
      <c r="A35" s="1492"/>
      <c r="B35" s="4842"/>
      <c r="C35" s="4846" t="s">
        <v>6172</v>
      </c>
      <c r="D35" s="4842" t="s">
        <v>6173</v>
      </c>
      <c r="E35" s="4847" t="s">
        <v>6070</v>
      </c>
      <c r="F35" s="4848"/>
      <c r="G35" s="4851" t="s">
        <v>1275</v>
      </c>
      <c r="H35" s="4853" t="s">
        <v>6066</v>
      </c>
      <c r="I35" s="4854"/>
      <c r="J35" s="4854"/>
      <c r="K35" s="4854"/>
      <c r="L35" s="4855"/>
    </row>
    <row r="36" spans="1:12" s="432" customFormat="1" ht="23.25" customHeight="1">
      <c r="A36" s="4846" t="s">
        <v>975</v>
      </c>
      <c r="B36" s="4842"/>
      <c r="C36" s="4846"/>
      <c r="D36" s="4842"/>
      <c r="E36" s="4849"/>
      <c r="F36" s="4850"/>
      <c r="G36" s="4852"/>
      <c r="H36" s="4856" t="s">
        <v>6068</v>
      </c>
      <c r="I36" s="4857"/>
      <c r="J36" s="4860" t="s">
        <v>1275</v>
      </c>
      <c r="K36" s="4857" t="s">
        <v>6069</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50</v>
      </c>
      <c r="B39" s="1572">
        <f>'Part V-Revenues &amp; Expenses'!E18</f>
        <v>6</v>
      </c>
      <c r="C39" s="1573" t="str">
        <f>_xlfn.CONCAT('Part V-Revenues &amp; Expenses'!C18," / ",'Part V-Revenues &amp; Expenses'!D18)</f>
        <v>1 / 1</v>
      </c>
      <c r="D39" s="1572">
        <f>'Part V-Revenues &amp; Expenses'!F18</f>
        <v>826</v>
      </c>
      <c r="E39" s="4866">
        <f>'Part V-Revenues &amp; Expenses'!H18</f>
        <v>549</v>
      </c>
      <c r="F39" s="4867"/>
      <c r="G39" s="439"/>
      <c r="H39" s="4836"/>
      <c r="I39" s="4837"/>
      <c r="J39" s="4837"/>
      <c r="K39" s="4837"/>
      <c r="L39" s="4838"/>
    </row>
    <row r="40" spans="1:12" s="432" customFormat="1" ht="13.15" customHeight="1">
      <c r="A40" s="1574">
        <f>'Part V-Revenues &amp; Expenses'!B19</f>
        <v>50</v>
      </c>
      <c r="B40" s="1575">
        <f>'Part V-Revenues &amp; Expenses'!E19</f>
        <v>6</v>
      </c>
      <c r="C40" s="1576" t="str">
        <f>_xlfn.CONCAT('Part V-Revenues &amp; Expenses'!C19," / ",'Part V-Revenues &amp; Expenses'!D19)</f>
        <v>2 / 2</v>
      </c>
      <c r="D40" s="1575">
        <f>'Part V-Revenues &amp; Expenses'!F19</f>
        <v>1060</v>
      </c>
      <c r="E40" s="4834">
        <f>'Part V-Revenues &amp; Expenses'!H19</f>
        <v>687</v>
      </c>
      <c r="F40" s="4835"/>
      <c r="G40" s="439"/>
      <c r="H40" s="4831"/>
      <c r="I40" s="4832"/>
      <c r="J40" s="4832"/>
      <c r="K40" s="4832"/>
      <c r="L40" s="4833"/>
    </row>
    <row r="41" spans="1:12" s="432" customFormat="1" ht="13.15" customHeight="1">
      <c r="A41" s="1574">
        <f>'Part V-Revenues &amp; Expenses'!B20</f>
        <v>60</v>
      </c>
      <c r="B41" s="1575">
        <f>'Part V-Revenues &amp; Expenses'!E20</f>
        <v>12</v>
      </c>
      <c r="C41" s="1576" t="str">
        <f>_xlfn.CONCAT('Part V-Revenues &amp; Expenses'!C20," / ",'Part V-Revenues &amp; Expenses'!D20)</f>
        <v>1 / 1</v>
      </c>
      <c r="D41" s="1575">
        <f>'Part V-Revenues &amp; Expenses'!F20</f>
        <v>826</v>
      </c>
      <c r="E41" s="4834">
        <f>'Part V-Revenues &amp; Expenses'!H20</f>
        <v>649</v>
      </c>
      <c r="F41" s="4835"/>
      <c r="G41" s="439"/>
      <c r="H41" s="4831"/>
      <c r="I41" s="4832"/>
      <c r="J41" s="4832"/>
      <c r="K41" s="4832"/>
      <c r="L41" s="4833"/>
    </row>
    <row r="42" spans="1:12" s="432" customFormat="1" ht="13.15" customHeight="1">
      <c r="A42" s="1574">
        <f>'Part V-Revenues &amp; Expenses'!B21</f>
        <v>60</v>
      </c>
      <c r="B42" s="1575">
        <f>'Part V-Revenues &amp; Expenses'!E21</f>
        <v>12</v>
      </c>
      <c r="C42" s="1576" t="str">
        <f>_xlfn.CONCAT('Part V-Revenues &amp; Expenses'!C21," / ",'Part V-Revenues &amp; Expenses'!D21)</f>
        <v>2 / 2</v>
      </c>
      <c r="D42" s="1575">
        <f>'Part V-Revenues &amp; Expenses'!F21</f>
        <v>1060</v>
      </c>
      <c r="E42" s="4834">
        <f>'Part V-Revenues &amp; Expenses'!H21</f>
        <v>777</v>
      </c>
      <c r="F42" s="4835"/>
      <c r="G42" s="439"/>
      <c r="H42" s="4831"/>
      <c r="I42" s="4832"/>
      <c r="J42" s="4832"/>
      <c r="K42" s="4832"/>
      <c r="L42" s="4833"/>
    </row>
    <row r="43" spans="1:12" s="432" customFormat="1" ht="13.15" customHeight="1">
      <c r="A43" s="1574">
        <f>'Part V-Revenues &amp; Expenses'!B22</f>
        <v>70</v>
      </c>
      <c r="B43" s="1575">
        <f>'Part V-Revenues &amp; Expenses'!E22</f>
        <v>2</v>
      </c>
      <c r="C43" s="1576" t="str">
        <f>_xlfn.CONCAT('Part V-Revenues &amp; Expenses'!C22," / ",'Part V-Revenues &amp; Expenses'!D22)</f>
        <v>1 / 1</v>
      </c>
      <c r="D43" s="1575">
        <f>'Part V-Revenues &amp; Expenses'!F22</f>
        <v>826</v>
      </c>
      <c r="E43" s="4834">
        <f>'Part V-Revenues &amp; Expenses'!H22</f>
        <v>799</v>
      </c>
      <c r="F43" s="4835"/>
      <c r="G43" s="439"/>
      <c r="H43" s="4831"/>
      <c r="I43" s="4832"/>
      <c r="J43" s="4832"/>
      <c r="K43" s="4832"/>
      <c r="L43" s="4833"/>
    </row>
    <row r="44" spans="1:12" s="432" customFormat="1" ht="13.15" customHeight="1">
      <c r="A44" s="1574">
        <f>'Part V-Revenues &amp; Expenses'!B23</f>
        <v>70</v>
      </c>
      <c r="B44" s="1575">
        <f>'Part V-Revenues &amp; Expenses'!E23</f>
        <v>2</v>
      </c>
      <c r="C44" s="1576" t="str">
        <f>_xlfn.CONCAT('Part V-Revenues &amp; Expenses'!C23," / ",'Part V-Revenues &amp; Expenses'!D23)</f>
        <v>2 / 2</v>
      </c>
      <c r="D44" s="1575">
        <f>'Part V-Revenues &amp; Expenses'!F23</f>
        <v>1060</v>
      </c>
      <c r="E44" s="4834">
        <f>'Part V-Revenues &amp; Expenses'!H23</f>
        <v>902</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5625" defaultRowHeight="12.75"/>
  <cols>
    <col min="1" max="1" width="2.265625" style="432" customWidth="1"/>
    <col min="2" max="2" width="12.3984375" style="432" customWidth="1"/>
    <col min="3" max="3" width="12.265625" style="432" customWidth="1"/>
    <col min="4" max="4" width="9.73046875" style="432" customWidth="1"/>
    <col min="5" max="5" width="10.3984375" style="432" customWidth="1"/>
    <col min="6" max="6" width="9.265625" style="432"/>
    <col min="7" max="7" width="11" style="432" customWidth="1"/>
    <col min="8" max="8" width="14.3984375" style="432" customWidth="1"/>
    <col min="9" max="9" width="10.265625" style="432" customWidth="1"/>
    <col min="10" max="16384" width="9.265625" style="432"/>
  </cols>
  <sheetData>
    <row r="1" spans="2:13" ht="15">
      <c r="B1" s="4726" t="s">
        <v>3479</v>
      </c>
      <c r="C1" s="4726"/>
      <c r="D1" s="4726"/>
      <c r="E1" s="4726"/>
      <c r="F1" s="4726"/>
      <c r="G1" s="4726"/>
      <c r="H1" s="4726"/>
      <c r="I1" s="4726"/>
    </row>
    <row r="2" spans="2:13" ht="13.9">
      <c r="B2" s="1040" t="s">
        <v>3467</v>
      </c>
      <c r="C2" s="616"/>
      <c r="D2" s="616"/>
      <c r="E2" s="616"/>
      <c r="F2" s="616"/>
      <c r="G2" s="616"/>
      <c r="H2" s="616"/>
      <c r="I2" s="616"/>
    </row>
    <row r="3" spans="2:13" ht="13.5">
      <c r="B3" s="1041" t="s">
        <v>3474</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Dogwood Trail Apartments II</v>
      </c>
      <c r="H5" s="4887"/>
      <c r="I5" s="4888"/>
    </row>
    <row r="6" spans="2:13" ht="4.5" customHeight="1">
      <c r="D6" s="1042"/>
      <c r="E6" s="1042"/>
      <c r="F6" s="1042"/>
      <c r="G6" s="1042"/>
      <c r="H6" s="1042"/>
      <c r="I6" s="1042"/>
    </row>
    <row r="7" spans="2:13" ht="13.15">
      <c r="B7" s="4874" t="s">
        <v>2891</v>
      </c>
      <c r="C7" s="4874"/>
      <c r="H7" s="4881">
        <f>'Preview term'!E9</f>
        <v>0</v>
      </c>
      <c r="I7" s="4882"/>
    </row>
    <row r="8" spans="2:13" ht="4.5" customHeight="1"/>
    <row r="9" spans="2:13" ht="13.15">
      <c r="B9" s="432" t="s">
        <v>2892</v>
      </c>
      <c r="E9" s="560" t="s">
        <v>3469</v>
      </c>
      <c r="I9" s="1043" t="str">
        <f>'Closing term sheet'!D12</f>
        <v>&lt;&lt;Select&gt;&gt;</v>
      </c>
    </row>
    <row r="10" spans="2:13" ht="7.5" customHeight="1"/>
    <row r="11" spans="2:13" ht="13.5">
      <c r="B11" s="605" t="s">
        <v>3466</v>
      </c>
      <c r="D11" s="610"/>
    </row>
    <row r="12" spans="2:13">
      <c r="B12" s="1044" t="s">
        <v>2893</v>
      </c>
      <c r="C12" s="1045"/>
      <c r="D12" s="1045"/>
      <c r="E12" s="1045"/>
      <c r="F12" s="1045"/>
      <c r="G12" s="1045"/>
      <c r="H12" s="1045"/>
      <c r="I12" s="1046" t="s">
        <v>1646</v>
      </c>
    </row>
    <row r="13" spans="2:13" ht="13.15">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15">
      <c r="B35" s="1047" t="s">
        <v>3478</v>
      </c>
      <c r="F35" s="736"/>
      <c r="H35" s="4826" t="s">
        <v>3487</v>
      </c>
      <c r="I35" s="4891"/>
    </row>
    <row r="36" spans="2:9">
      <c r="B36" s="1059" t="s">
        <v>3486</v>
      </c>
      <c r="C36" s="523"/>
      <c r="D36" s="523"/>
      <c r="F36" s="1258"/>
      <c r="G36" s="617"/>
      <c r="H36" s="4826"/>
      <c r="I36" s="4891"/>
    </row>
    <row r="37" spans="2:9">
      <c r="B37" s="1059" t="s">
        <v>3484</v>
      </c>
      <c r="D37" s="523"/>
      <c r="F37" s="1259"/>
      <c r="G37" s="617"/>
      <c r="H37" s="4826"/>
      <c r="I37" s="4891"/>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3489</v>
      </c>
      <c r="C52" s="4871" t="str">
        <f>'Part I-Project Identification'!F26</f>
        <v>Albany</v>
      </c>
      <c r="D52" s="4872"/>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15">
      <c r="B55" s="1061" t="s">
        <v>3655</v>
      </c>
      <c r="D55" s="1058" t="e">
        <f>'Closing term sheet'!$D$33</f>
        <v>#VALUE!</v>
      </c>
      <c r="E55" s="1062"/>
      <c r="F55" s="560" t="s">
        <v>2909</v>
      </c>
      <c r="I55" s="1049"/>
    </row>
    <row r="56" spans="2:9" ht="13.15">
      <c r="B56" s="1061" t="s">
        <v>3657</v>
      </c>
      <c r="D56" s="1069">
        <f>'Closing term sheet'!$D$63</f>
        <v>8796881</v>
      </c>
      <c r="E56" s="1070"/>
      <c r="F56" s="560" t="s">
        <v>2910</v>
      </c>
      <c r="I56" s="1049"/>
    </row>
    <row r="57" spans="2:9" ht="13.15">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15">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15">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15">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8796881</v>
      </c>
      <c r="G84" s="4895"/>
      <c r="I84" s="1049"/>
    </row>
    <row r="85" spans="2:9">
      <c r="B85" s="1047"/>
      <c r="C85" s="432" t="s">
        <v>2928</v>
      </c>
      <c r="F85" s="4870">
        <f>'Part II-Sources of Funds'!I47+'Part II-Sources of Funds'!L47</f>
        <v>2153.107058244389</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ht="13.15">
      <c r="B89" s="1047"/>
      <c r="C89" s="560" t="s">
        <v>2932</v>
      </c>
      <c r="F89" s="4893">
        <f>SUM(F84:G88)</f>
        <v>8810034.1070582438</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ht="13.15">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ht="13.15">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8810034.1070582438</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3046875" defaultRowHeight="12.75"/>
  <cols>
    <col min="1" max="1" width="1.73046875" customWidth="1"/>
    <col min="2" max="2" width="5.265625" customWidth="1"/>
    <col min="3" max="3" width="9.73046875" customWidth="1"/>
    <col min="4" max="6" width="7.73046875" customWidth="1"/>
    <col min="7" max="7" width="10.73046875" customWidth="1"/>
    <col min="8" max="8" width="7.73046875" customWidth="1"/>
    <col min="9" max="9" width="17.59765625" customWidth="1"/>
    <col min="10" max="10" width="7.73046875" customWidth="1"/>
    <col min="11" max="11" width="7.265625" customWidth="1"/>
    <col min="12" max="12" width="7.73046875" customWidth="1"/>
    <col min="13" max="13" width="7.3984375" customWidth="1"/>
    <col min="14" max="16" width="7.73046875" customWidth="1"/>
    <col min="17" max="17" width="8.265625" customWidth="1"/>
    <col min="18" max="18" width="8.3984375" customWidth="1"/>
    <col min="27" max="28" width="8.730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4" t="s">
        <v>6617</v>
      </c>
      <c r="R11" s="4924"/>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3907</v>
      </c>
      <c r="R13" s="4906"/>
      <c r="S13" s="144"/>
      <c r="T13" s="144"/>
      <c r="U13" s="144"/>
      <c r="AA13" s="68"/>
      <c r="AB13" s="68"/>
    </row>
    <row r="14" spans="1:28" s="145" customFormat="1" ht="12.75" hidden="1" customHeight="1">
      <c r="A14" s="147"/>
      <c r="B14" s="147"/>
      <c r="C14" s="147"/>
      <c r="K14" s="236" t="s">
        <v>3908</v>
      </c>
      <c r="L14" s="236"/>
      <c r="N14" s="234"/>
      <c r="O14" s="147"/>
      <c r="P14" s="144"/>
      <c r="Q14" s="4904">
        <v>0.2</v>
      </c>
      <c r="R14" s="4905"/>
      <c r="S14" s="144"/>
      <c r="T14" s="144"/>
      <c r="U14" s="144"/>
      <c r="AA14" s="68"/>
      <c r="AB14" s="68"/>
    </row>
    <row r="15" spans="1:28" s="145" customFormat="1" ht="12.75" hidden="1" customHeight="1">
      <c r="A15" s="147"/>
      <c r="B15" s="147"/>
      <c r="C15" s="147"/>
      <c r="K15" s="236" t="s">
        <v>3909</v>
      </c>
      <c r="L15" s="236"/>
      <c r="N15" s="234"/>
      <c r="O15" s="147"/>
      <c r="P15" s="144"/>
      <c r="Q15" s="4927">
        <v>0.15</v>
      </c>
      <c r="R15" s="4928"/>
      <c r="S15" s="144"/>
      <c r="T15" s="144"/>
      <c r="U15" s="144"/>
      <c r="AA15" s="68"/>
      <c r="AB15" s="68"/>
    </row>
    <row r="16" spans="1:28" s="145" customFormat="1" ht="12.75" hidden="1" customHeight="1">
      <c r="A16" s="147"/>
      <c r="B16" s="147"/>
      <c r="C16" s="147"/>
      <c r="K16" s="236" t="s">
        <v>3910</v>
      </c>
      <c r="L16" s="236"/>
      <c r="N16" s="234"/>
      <c r="O16" s="147"/>
      <c r="P16" s="144"/>
      <c r="Q16" s="4927">
        <v>0.15</v>
      </c>
      <c r="R16" s="4928"/>
      <c r="S16" s="144"/>
      <c r="T16" s="144"/>
      <c r="U16" s="144"/>
      <c r="AA16" s="68"/>
      <c r="AB16" s="68"/>
    </row>
    <row r="17" spans="1:28" s="145" customFormat="1" ht="12.75" hidden="1" customHeight="1">
      <c r="A17" s="147"/>
      <c r="B17" s="147"/>
      <c r="C17" s="147"/>
      <c r="K17" s="236" t="s">
        <v>3911</v>
      </c>
      <c r="L17" s="236"/>
      <c r="N17" s="234"/>
      <c r="O17" s="147"/>
      <c r="P17" s="144"/>
      <c r="Q17" s="4927">
        <v>0.1</v>
      </c>
      <c r="R17" s="4928"/>
      <c r="S17" s="144"/>
      <c r="T17" s="144"/>
      <c r="U17" s="144"/>
      <c r="AA17" s="68"/>
      <c r="AB17" s="68"/>
    </row>
    <row r="18" spans="1:28" s="145" customFormat="1" ht="12.75" hidden="1" customHeight="1">
      <c r="A18" s="147"/>
      <c r="B18" s="147"/>
      <c r="C18" s="147"/>
      <c r="K18" s="236" t="s">
        <v>3912</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3915</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idden="1">
      <c r="A79" s="147"/>
      <c r="B79" s="314"/>
      <c r="C79" s="147"/>
      <c r="D79" s="144"/>
      <c r="E79" s="144"/>
      <c r="F79" s="147"/>
      <c r="G79" s="147"/>
      <c r="H79" s="147" t="s">
        <v>3162</v>
      </c>
      <c r="I79" s="147" t="s">
        <v>908</v>
      </c>
      <c r="J79" s="147" t="s">
        <v>910</v>
      </c>
      <c r="K79" s="147"/>
      <c r="L79" s="147"/>
      <c r="M79" s="147"/>
      <c r="N79" s="147"/>
      <c r="O79" s="147"/>
      <c r="P79" s="144"/>
      <c r="Q79" s="4918">
        <v>0.15</v>
      </c>
      <c r="R79" s="4919"/>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2" t="s">
        <v>6760</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6100</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6756</v>
      </c>
      <c r="B125" s="4968"/>
      <c r="C125" s="2002"/>
      <c r="D125" s="4970"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c r="A127" s="4968"/>
      <c r="B127" s="4968"/>
      <c r="C127" s="147"/>
      <c r="D127" s="4971"/>
      <c r="H127" s="4965" t="s">
        <v>6754</v>
      </c>
      <c r="J127" s="142" t="s">
        <v>748</v>
      </c>
      <c r="K127" s="142"/>
      <c r="L127" s="223"/>
    </row>
    <row r="128" spans="1:28">
      <c r="C128" s="715" t="s">
        <v>751</v>
      </c>
      <c r="D128" s="1304" t="s">
        <v>2995</v>
      </c>
      <c r="F128" s="715" t="s">
        <v>6752</v>
      </c>
      <c r="H128" s="4966"/>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4057</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3961</v>
      </c>
      <c r="D303" s="4948" t="s">
        <v>3962</v>
      </c>
      <c r="E303" s="4948" t="s">
        <v>3963</v>
      </c>
      <c r="F303" s="4948" t="s">
        <v>3964</v>
      </c>
      <c r="G303" s="4945" t="s">
        <v>3961</v>
      </c>
      <c r="H303" s="4948" t="s">
        <v>3962</v>
      </c>
      <c r="I303" s="4948" t="s">
        <v>3963</v>
      </c>
      <c r="J303" s="4948" t="s">
        <v>3964</v>
      </c>
      <c r="L303" s="4945" t="s">
        <v>3961</v>
      </c>
      <c r="M303" s="4948" t="s">
        <v>3962</v>
      </c>
      <c r="N303" s="4948" t="s">
        <v>3963</v>
      </c>
      <c r="O303" s="4948" t="s">
        <v>3964</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328125" defaultRowHeight="12.75"/>
  <cols>
    <col min="1" max="8" width="9.265625" style="357" bestFit="1" customWidth="1"/>
    <col min="9" max="9" width="14.265625" style="357" bestFit="1" customWidth="1"/>
    <col min="10" max="17" width="9.265625" style="357" bestFit="1" customWidth="1"/>
    <col min="18" max="18" width="9.1328125" style="357"/>
    <col min="19" max="21" width="9.265625" style="357" bestFit="1" customWidth="1"/>
    <col min="22" max="22" width="9.86328125" style="357" bestFit="1" customWidth="1"/>
    <col min="23" max="23" width="9.265625" style="357" bestFit="1" customWidth="1"/>
    <col min="24" max="24" width="11.265625" style="357" bestFit="1" customWidth="1"/>
    <col min="25" max="359" width="9.265625" style="357" bestFit="1" customWidth="1"/>
    <col min="360" max="16384" width="9.1328125" style="357"/>
  </cols>
  <sheetData>
    <row r="1" spans="1:26">
      <c r="A1" s="2614" t="str">
        <f>CONCATENATE("PART ONE - PROJECT INFORMATION"," - ",$O$7," ",$F$25,", ",'Part I-Project Identification'!F25,", ",'Part I-Project Identification'!J25," County")</f>
        <v>PART ONE - PROJECT INFORMATION -  Albany, Dogwood Trail Apartments II,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6948</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6949</v>
      </c>
      <c r="H5" s="1819"/>
      <c r="I5" s="1819"/>
      <c r="J5" s="1819"/>
      <c r="K5" s="1819"/>
      <c r="L5" s="2615"/>
      <c r="M5" s="1819"/>
      <c r="N5" s="1819"/>
      <c r="O5" s="1819"/>
      <c r="P5" s="2620" t="s">
        <v>3289</v>
      </c>
    </row>
    <row r="6" spans="1:26" ht="14.25" customHeight="1">
      <c r="A6" s="2618"/>
      <c r="B6" s="2618"/>
      <c r="C6" s="2618"/>
      <c r="D6" s="2618"/>
      <c r="E6" s="2621"/>
      <c r="F6" s="2615"/>
      <c r="G6" s="2619" t="s">
        <v>6950</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799212</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c r="A11" s="2624" t="s">
        <v>689</v>
      </c>
      <c r="B11" s="2614" t="s">
        <v>1891</v>
      </c>
      <c r="C11" s="1819"/>
      <c r="D11" s="1819"/>
      <c r="E11" s="1819"/>
      <c r="F11" s="2626" t="str">
        <f>'Part I-Project Identification'!F12</f>
        <v>9% Credit Competitive Round only</v>
      </c>
      <c r="G11" s="2626"/>
      <c r="H11" s="2626"/>
      <c r="I11" s="2627" t="s">
        <v>6951</v>
      </c>
      <c r="J11" s="2614" t="s">
        <v>6952</v>
      </c>
      <c r="K11" s="2614"/>
      <c r="L11" s="1622"/>
      <c r="M11" s="1819"/>
      <c r="N11" s="1819"/>
      <c r="O11" s="1819" t="str">
        <f>'Part I-Project Identification'!O12</f>
        <v>2023PA-033</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Clement &amp; Company, LLC</v>
      </c>
      <c r="G14" s="1819"/>
      <c r="H14" s="1819"/>
      <c r="I14" s="1819" t="s">
        <v>1670</v>
      </c>
      <c r="J14" s="1819" t="str">
        <f>'Part I-Project Identification'!J15</f>
        <v>Mitchell Davenport</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2514041225</v>
      </c>
      <c r="G15" s="2628"/>
      <c r="H15" s="2628"/>
      <c r="I15" s="2623" t="s">
        <v>1598</v>
      </c>
      <c r="J15" s="2629">
        <f>'Part I-Project Identification'!J16</f>
        <v>0</v>
      </c>
      <c r="M15" s="2623" t="s">
        <v>1600</v>
      </c>
      <c r="N15" s="2628">
        <f>'Part I-Project Identification'!N16</f>
        <v>2514041225</v>
      </c>
      <c r="O15" s="2628"/>
      <c r="P15" s="2628"/>
      <c r="Q15" s="357"/>
      <c r="R15" s="357"/>
      <c r="S15" s="357"/>
      <c r="V15" s="2630"/>
      <c r="W15" s="2630"/>
      <c r="X15" s="2630"/>
      <c r="Z15" s="1622">
        <v>18</v>
      </c>
    </row>
    <row r="16" spans="1:26" s="1819" customFormat="1">
      <c r="B16" s="2623" t="s">
        <v>1842</v>
      </c>
      <c r="F16" s="2631" t="str">
        <f>'Part I-Project Identification'!F17</f>
        <v>mdavenport@clementdev.com</v>
      </c>
      <c r="G16" s="2631"/>
      <c r="H16" s="2631"/>
      <c r="I16" s="2631"/>
      <c r="J16" s="2631"/>
      <c r="K16" s="2631"/>
      <c r="L16" s="2631"/>
      <c r="M16" s="2623" t="s">
        <v>1838</v>
      </c>
      <c r="N16" s="2628">
        <f>'Part I-Project Identification'!N17</f>
        <v>2514041225</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SCG Development Partners, LLC</v>
      </c>
      <c r="G18" s="1819"/>
      <c r="H18" s="1819"/>
      <c r="I18" s="1819" t="s">
        <v>1670</v>
      </c>
      <c r="J18" s="1819" t="str">
        <f>'Part I-Project Identification'!J19</f>
        <v>Jason Duguay</v>
      </c>
      <c r="K18" s="1819"/>
      <c r="L18" s="1819"/>
      <c r="M18" s="2623" t="s">
        <v>1839</v>
      </c>
      <c r="N18" s="1819" t="str">
        <f>'Part I-Project Identification'!N19</f>
        <v>Senior Vice President</v>
      </c>
      <c r="O18" s="1819"/>
      <c r="P18" s="1819"/>
    </row>
    <row r="19" spans="1:26" s="1819" customFormat="1" ht="12.75" customHeight="1">
      <c r="B19" s="2623" t="s">
        <v>1599</v>
      </c>
      <c r="F19" s="2628">
        <f>'Part I-Project Identification'!F20</f>
        <v>7039426610</v>
      </c>
      <c r="G19" s="2628"/>
      <c r="H19" s="2628"/>
      <c r="I19" s="2623" t="s">
        <v>1598</v>
      </c>
      <c r="J19" s="2629">
        <f>'Part I-Project Identification'!J20</f>
        <v>213</v>
      </c>
      <c r="M19" s="2623" t="s">
        <v>1600</v>
      </c>
      <c r="N19" s="2628">
        <f>'Part I-Project Identification'!N20</f>
        <v>0</v>
      </c>
      <c r="O19" s="2628"/>
      <c r="P19" s="2628"/>
      <c r="Q19" s="357"/>
      <c r="R19" s="357"/>
      <c r="S19" s="357"/>
      <c r="V19" s="2630"/>
      <c r="W19" s="2630"/>
      <c r="X19" s="2630"/>
      <c r="Z19" s="1622">
        <v>18</v>
      </c>
    </row>
    <row r="20" spans="1:26" s="1819" customFormat="1">
      <c r="B20" s="2623" t="s">
        <v>1842</v>
      </c>
      <c r="F20" s="2631" t="str">
        <f>'Part I-Project Identification'!F21</f>
        <v>jbd@scgdevelopment.com</v>
      </c>
      <c r="G20" s="2631"/>
      <c r="H20" s="2631"/>
      <c r="I20" s="2631"/>
      <c r="J20" s="2631"/>
      <c r="K20" s="2631"/>
      <c r="L20" s="2631"/>
      <c r="M20" s="2623" t="s">
        <v>1838</v>
      </c>
      <c r="N20" s="2628">
        <f>'Part I-Project Identification'!N21</f>
        <v>9787906613</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Dogwood Trail Apartments II</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Albany</v>
      </c>
      <c r="G25" s="1819"/>
      <c r="H25" s="1819"/>
      <c r="I25" s="2632" t="s">
        <v>576</v>
      </c>
      <c r="J25" s="1819" t="str">
        <f>'Part I-Project Identification'!J26</f>
        <v>Dougherty</v>
      </c>
      <c r="K25" s="1819"/>
      <c r="L25" s="1819"/>
      <c r="M25" s="2623" t="s">
        <v>426</v>
      </c>
      <c r="N25" s="1819"/>
      <c r="O25" s="1819"/>
      <c r="P25" s="2545" t="str">
        <f>'Part I-Project Identification'!P26</f>
        <v>No</v>
      </c>
    </row>
    <row r="26" spans="1:26">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3.46</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Albany</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51.15">
      <c r="A40" s="2639" t="str">
        <f>'Part I-Project Identification'!A41</f>
        <v>The project was reduced from 48 units at pre-application to 40 units.
     The project is located in Census Tract 1.01 which is a Qualified Census Tract in 2023.</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Dogwood Trail Apartments II, Albany, Dougherty County</v>
      </c>
      <c r="B45" s="2614"/>
      <c r="C45" s="2614"/>
      <c r="D45" s="2614"/>
      <c r="E45" s="2614"/>
      <c r="F45" s="2614"/>
      <c r="G45" s="2614"/>
      <c r="H45" s="2614"/>
      <c r="I45" s="2614"/>
      <c r="J45" s="2614"/>
      <c r="K45" s="2614"/>
      <c r="L45" s="2614"/>
      <c r="M45" s="2614"/>
      <c r="N45" s="2614"/>
      <c r="O45" s="2614"/>
      <c r="P45" s="2614"/>
      <c r="Q45" s="2614"/>
    </row>
    <row r="46" spans="1:17">
      <c r="A46" s="378"/>
      <c r="B46" s="378"/>
      <c r="C46" s="378"/>
      <c r="D46" s="378"/>
      <c r="E46" s="378"/>
      <c r="F46" s="378"/>
      <c r="G46" s="359"/>
      <c r="H46" s="359"/>
      <c r="I46" s="359"/>
      <c r="J46" s="359"/>
      <c r="K46" s="359"/>
      <c r="L46" s="359"/>
      <c r="M46" s="2640"/>
      <c r="N46" s="2640"/>
      <c r="O46" s="2640"/>
      <c r="P46" s="2640"/>
      <c r="Q46" s="2640"/>
    </row>
    <row r="47" spans="1:17" ht="13.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c r="A48" s="377"/>
      <c r="B48" s="2615"/>
      <c r="C48" s="377"/>
      <c r="D48" s="1819"/>
      <c r="E48" s="1819"/>
      <c r="F48" s="1819"/>
      <c r="G48" s="1819"/>
      <c r="H48" s="2641"/>
      <c r="I48" s="2641"/>
      <c r="J48" s="2641"/>
      <c r="K48" s="2641"/>
      <c r="L48" s="2641"/>
      <c r="M48" s="2641"/>
      <c r="N48" s="2641"/>
      <c r="O48" s="2641"/>
      <c r="P48" s="2641"/>
      <c r="Q48" s="2641"/>
    </row>
    <row r="49" spans="1:17">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c r="A60" s="2615"/>
      <c r="B60" s="2641" t="s">
        <v>3878</v>
      </c>
      <c r="C60" s="1819"/>
      <c r="D60" s="1819"/>
      <c r="E60" s="1819"/>
      <c r="F60" s="1819"/>
      <c r="G60" s="1819"/>
      <c r="H60" s="1819"/>
      <c r="I60" s="1819"/>
      <c r="J60" s="1819"/>
      <c r="K60" s="1819"/>
      <c r="L60" s="1819"/>
      <c r="M60" s="2640"/>
      <c r="N60" s="1819"/>
      <c r="O60" s="1819"/>
      <c r="P60" s="1819"/>
      <c r="Q60" s="1819"/>
    </row>
    <row r="61" spans="1:17">
      <c r="A61" s="2615"/>
      <c r="B61" s="2641"/>
      <c r="C61" s="2641"/>
      <c r="D61" s="2641"/>
      <c r="E61" s="2641"/>
      <c r="F61" s="2641"/>
      <c r="G61" s="2641"/>
      <c r="H61" s="2641"/>
      <c r="I61" s="2641"/>
      <c r="J61" s="2641"/>
      <c r="K61" s="2641"/>
      <c r="L61" s="1819"/>
      <c r="M61" s="378"/>
      <c r="N61" s="1819"/>
      <c r="O61" s="1819"/>
      <c r="P61" s="1819"/>
      <c r="Q61" s="1819"/>
    </row>
    <row r="62" spans="1:17">
      <c r="A62" s="2614" t="s">
        <v>689</v>
      </c>
      <c r="B62" s="2624" t="s">
        <v>2165</v>
      </c>
      <c r="C62" s="1819"/>
      <c r="D62" s="1819"/>
      <c r="E62" s="1819"/>
      <c r="F62" s="1819"/>
      <c r="G62" s="1819"/>
      <c r="H62" s="2626"/>
      <c r="I62" s="2626"/>
      <c r="J62" s="2626"/>
      <c r="K62" s="2626"/>
      <c r="L62" s="1819"/>
      <c r="M62" s="1819"/>
      <c r="N62" s="1819"/>
      <c r="O62" s="1819"/>
      <c r="P62" s="1819"/>
      <c r="Q62" s="1819"/>
    </row>
    <row r="63" spans="1:17">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38.25">
      <c r="A65" s="1819"/>
      <c r="B65" s="1819" t="s">
        <v>1486</v>
      </c>
      <c r="C65" s="1819"/>
      <c r="D65" s="1819"/>
      <c r="E65" s="1819"/>
      <c r="F65" s="1819"/>
      <c r="G65" s="1819"/>
      <c r="H65" s="2645" t="str">
        <f>'Part II-Sources of Funds'!H22</f>
        <v>Churchill Stateside Group</v>
      </c>
      <c r="I65" s="2645"/>
      <c r="J65" s="2645"/>
      <c r="K65" s="2645"/>
      <c r="L65" s="2547">
        <f>'Part II-Sources of Funds'!L22</f>
        <v>8796881</v>
      </c>
      <c r="M65" s="2547"/>
      <c r="N65" s="2548">
        <f>'Part II-Sources of Funds'!N22</f>
        <v>7.7499999999999999E-2</v>
      </c>
      <c r="O65" s="2548"/>
      <c r="P65" s="2549">
        <f>'Part II-Sources of Funds'!P22</f>
        <v>18</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Stratford Capital Group</v>
      </c>
      <c r="I71" s="2645"/>
      <c r="J71" s="2645"/>
      <c r="K71" s="2645"/>
      <c r="L71" s="2547">
        <f>'Part II-Sources of Funds'!L28</f>
        <v>984969</v>
      </c>
      <c r="M71" s="2547"/>
      <c r="N71" s="1819"/>
      <c r="O71" s="2641"/>
      <c r="P71" s="2641"/>
      <c r="Q71" s="1819"/>
    </row>
    <row r="72" spans="1:17" ht="25.5">
      <c r="A72" s="1819"/>
      <c r="B72" s="1819" t="s">
        <v>747</v>
      </c>
      <c r="C72" s="1819"/>
      <c r="D72" s="1819"/>
      <c r="E72" s="1819"/>
      <c r="F72" s="2641"/>
      <c r="G72" s="2641"/>
      <c r="H72" s="2645" t="str">
        <f>'Part II-Sources of Funds'!H29</f>
        <v>Sugar Creek Capital</v>
      </c>
      <c r="I72" s="2645"/>
      <c r="J72" s="2645"/>
      <c r="K72" s="2645"/>
      <c r="L72" s="2547">
        <f>'Part II-Sources of Funds'!L29</f>
        <v>633335</v>
      </c>
      <c r="M72" s="2547"/>
      <c r="N72" s="1819"/>
      <c r="O72" s="2641"/>
      <c r="P72" s="2641"/>
      <c r="Q72" s="1819"/>
    </row>
    <row r="73" spans="1:17">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c r="A76" s="1819"/>
      <c r="B76" s="2624" t="s">
        <v>1221</v>
      </c>
      <c r="C76" s="1819"/>
      <c r="D76" s="1819"/>
      <c r="E76" s="1819"/>
      <c r="F76" s="1819"/>
      <c r="G76" s="1819"/>
      <c r="H76" s="1819"/>
      <c r="I76" s="1819"/>
      <c r="J76" s="2641"/>
      <c r="K76" s="2641"/>
      <c r="L76" s="2550">
        <f>SUM(L65:L75)</f>
        <v>10415185</v>
      </c>
      <c r="M76" s="2550"/>
      <c r="N76" s="378"/>
      <c r="O76" s="2641"/>
      <c r="P76" s="2641"/>
      <c r="Q76" s="2641"/>
    </row>
    <row r="77" spans="1:17">
      <c r="A77" s="1819"/>
      <c r="B77" s="2623" t="s">
        <v>1222</v>
      </c>
      <c r="C77" s="1819"/>
      <c r="D77" s="1819"/>
      <c r="E77" s="1819"/>
      <c r="F77" s="1819"/>
      <c r="G77" s="1819"/>
      <c r="H77" s="1819"/>
      <c r="I77" s="1819"/>
      <c r="J77" s="2641"/>
      <c r="K77" s="2641"/>
      <c r="L77" s="2550">
        <f>'Part II-Sources of Funds'!L34</f>
        <v>10415185</v>
      </c>
      <c r="M77" s="2550"/>
      <c r="N77" s="2646"/>
      <c r="O77" s="2641"/>
      <c r="P77" s="2641"/>
      <c r="Q77" s="2641"/>
    </row>
    <row r="78" spans="1:17">
      <c r="A78" s="1819"/>
      <c r="B78" s="2623" t="s">
        <v>2002</v>
      </c>
      <c r="C78" s="1819"/>
      <c r="D78" s="1819"/>
      <c r="E78" s="1819"/>
      <c r="F78" s="1819"/>
      <c r="G78" s="1819"/>
      <c r="H78" s="1819"/>
      <c r="I78" s="1819"/>
      <c r="J78" s="2641"/>
      <c r="K78" s="2641"/>
      <c r="L78" s="2647">
        <f>L76-L77</f>
        <v>0</v>
      </c>
      <c r="M78" s="2647"/>
      <c r="N78" s="2646"/>
      <c r="O78" s="2641"/>
      <c r="P78" s="2641"/>
      <c r="Q78" s="2641"/>
    </row>
    <row r="79" spans="1:17">
      <c r="A79" s="377"/>
      <c r="B79" s="2624"/>
      <c r="C79" s="378"/>
      <c r="D79" s="378"/>
      <c r="E79" s="378"/>
      <c r="F79" s="378"/>
      <c r="G79" s="378"/>
      <c r="H79" s="378"/>
      <c r="I79" s="378"/>
      <c r="J79" s="378"/>
      <c r="K79" s="378"/>
      <c r="L79" s="378"/>
      <c r="M79" s="1622"/>
      <c r="N79" s="1622"/>
      <c r="O79" s="2640"/>
      <c r="P79" s="2640"/>
      <c r="Q79" s="2640"/>
    </row>
    <row r="80" spans="1:17">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38.25">
      <c r="A83" s="1819"/>
      <c r="B83" s="1819" t="s">
        <v>2402</v>
      </c>
      <c r="C83" s="1819"/>
      <c r="D83" s="1819"/>
      <c r="E83" s="2645" t="str">
        <f>'Part II-Sources of Funds'!E40</f>
        <v>Churchill Stateside Group</v>
      </c>
      <c r="F83" s="2645"/>
      <c r="G83" s="2645"/>
      <c r="H83" s="2645"/>
      <c r="I83" s="2648">
        <f>'Part II-Sources of Funds'!I40</f>
        <v>641200</v>
      </c>
      <c r="J83" s="1819"/>
      <c r="K83" s="2649">
        <f>'Part II-Sources of Funds'!K40</f>
        <v>7.0000000000000007E-2</v>
      </c>
      <c r="L83" s="1622">
        <f>'Part II-Sources of Funds'!L40</f>
        <v>17</v>
      </c>
      <c r="M83" s="1622">
        <f>'Part II-Sources of Funds'!M40</f>
        <v>35</v>
      </c>
      <c r="N83" s="1819" t="str">
        <f>'Part II-Sources of Funds'!N40</f>
        <v>Amortizing</v>
      </c>
      <c r="O83" s="1819"/>
      <c r="P83" s="2551">
        <f>'Part II-Sources of Funds'!P40</f>
        <v>49156.163650470116</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63.75">
      <c r="A88" s="1819"/>
      <c r="B88" s="1819" t="s">
        <v>220</v>
      </c>
      <c r="C88" s="1819"/>
      <c r="D88" s="2650">
        <f>'Part II-Sources of Funds'!D45</f>
        <v>1.9572727272727272E-3</v>
      </c>
      <c r="E88" s="2645" t="str">
        <f>'Part II-Sources of Funds'!E45</f>
        <v>Clement &amp; Company/SCG Development Partners</v>
      </c>
      <c r="F88" s="2645"/>
      <c r="G88" s="2645"/>
      <c r="H88" s="2645"/>
      <c r="I88" s="2648">
        <f>'Part II-Sources of Funds'!I45</f>
        <v>2153</v>
      </c>
      <c r="J88" s="1819"/>
      <c r="K88" s="2649">
        <f>'Part II-Sources of Funds'!K45</f>
        <v>0</v>
      </c>
      <c r="L88" s="1622">
        <f>'Part II-Sources of Funds'!L45</f>
        <v>1</v>
      </c>
      <c r="M88" s="1622">
        <f>'Part II-Sources of Funds'!M45</f>
        <v>1</v>
      </c>
      <c r="N88" s="1819" t="str">
        <f>'Part II-Sources of Funds'!N45</f>
        <v>Cash Flow</v>
      </c>
      <c r="O88" s="1819"/>
      <c r="P88" s="2551">
        <f>'Part II-Sources of Funds'!P45</f>
        <v>2153</v>
      </c>
      <c r="Q88" s="2551"/>
    </row>
    <row r="89" spans="1:17">
      <c r="A89" s="1819"/>
      <c r="B89" s="1819"/>
      <c r="C89" s="1819"/>
      <c r="D89" s="1819"/>
      <c r="E89" s="1819"/>
      <c r="F89" s="1819"/>
      <c r="G89" s="1819"/>
      <c r="H89" s="1819"/>
      <c r="I89" s="2651"/>
      <c r="J89" s="2652"/>
      <c r="K89" s="2649"/>
      <c r="L89" s="1622"/>
      <c r="M89" s="1622"/>
      <c r="N89" s="2552"/>
      <c r="O89" s="2552"/>
      <c r="P89" s="1622"/>
      <c r="Q89" s="1622"/>
    </row>
    <row r="90" spans="1:17">
      <c r="A90" s="1819"/>
      <c r="B90" s="2641" t="s">
        <v>3405</v>
      </c>
      <c r="C90" s="1819"/>
      <c r="D90" s="2641"/>
      <c r="E90" s="2641" t="s">
        <v>3363</v>
      </c>
      <c r="F90" s="2653">
        <f>'Part II-Sources of Funds'!F47</f>
        <v>20110.548349529883</v>
      </c>
      <c r="G90" s="2641"/>
      <c r="H90" s="2654" t="s">
        <v>3404</v>
      </c>
      <c r="I90" s="2653">
        <f>'Part II-Sources of Funds'!I47</f>
        <v>2153</v>
      </c>
      <c r="J90" s="2641"/>
      <c r="K90" s="2654" t="s">
        <v>3406</v>
      </c>
      <c r="L90" s="2655">
        <f>'Part II-Sources of Funds'!L47</f>
        <v>0.10705824438896167</v>
      </c>
      <c r="M90" s="2655"/>
      <c r="N90" s="2551" t="s">
        <v>3847</v>
      </c>
      <c r="O90" s="2551"/>
      <c r="P90" s="1820">
        <f>'Part II-Sources of Funds'!P47</f>
        <v>0</v>
      </c>
      <c r="Q90" s="1820"/>
    </row>
    <row r="91" spans="1:17">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Stratford Capital Group</v>
      </c>
      <c r="F94" s="2645"/>
      <c r="G94" s="2645"/>
      <c r="H94" s="2645"/>
      <c r="I94" s="2648">
        <f>'Part II-Sources of Funds'!I51</f>
        <v>6566461</v>
      </c>
      <c r="J94" s="1819"/>
      <c r="K94" s="2641"/>
      <c r="L94" s="2659">
        <f>'Part II-Sources of Funds'!L51</f>
        <v>6633459.5999999996</v>
      </c>
      <c r="M94" s="2659"/>
      <c r="N94" s="2660">
        <f>I94-L94</f>
        <v>-66998.599999999627</v>
      </c>
      <c r="O94" s="2660"/>
      <c r="P94" s="2661">
        <f>I94/I104</f>
        <v>0.57439050738931341</v>
      </c>
      <c r="Q94" s="1819"/>
    </row>
    <row r="95" spans="1:17" ht="25.5">
      <c r="A95" s="1819"/>
      <c r="B95" s="1819" t="s">
        <v>747</v>
      </c>
      <c r="C95" s="1819"/>
      <c r="D95" s="1819"/>
      <c r="E95" s="2645" t="str">
        <f>'Part II-Sources of Funds'!E52</f>
        <v>Sugar Creek Capital</v>
      </c>
      <c r="F95" s="2645"/>
      <c r="G95" s="2645"/>
      <c r="H95" s="2645"/>
      <c r="I95" s="2648">
        <f>'Part II-Sources of Funds'!I52</f>
        <v>4222236</v>
      </c>
      <c r="J95" s="1819"/>
      <c r="K95" s="2641"/>
      <c r="L95" s="2659">
        <f>'Part II-Sources of Funds'!L52</f>
        <v>4155902.4000000004</v>
      </c>
      <c r="M95" s="2659"/>
      <c r="N95" s="2660">
        <f>I95-L95</f>
        <v>66333.599999999627</v>
      </c>
      <c r="O95" s="2660"/>
      <c r="P95" s="2661">
        <f>I95/I104</f>
        <v>0.36933323419684133</v>
      </c>
      <c r="Q95" s="1819"/>
    </row>
    <row r="96" spans="1:17">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0.9437237415861548</v>
      </c>
      <c r="Q96" s="1819"/>
    </row>
    <row r="97" spans="1:17">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c r="A103" s="1819"/>
      <c r="B103" s="2623" t="s">
        <v>2048</v>
      </c>
      <c r="C103" s="1819"/>
      <c r="D103" s="1819"/>
      <c r="E103" s="1819"/>
      <c r="F103" s="1819"/>
      <c r="G103" s="1819"/>
      <c r="H103" s="2641"/>
      <c r="I103" s="2550">
        <f>SUM(I83:J88)+SUM(I92:J102)</f>
        <v>11432050</v>
      </c>
      <c r="J103" s="2550"/>
      <c r="K103" s="1819"/>
      <c r="L103" s="1622"/>
      <c r="M103" s="2645"/>
      <c r="N103" s="2645"/>
      <c r="O103" s="2645"/>
      <c r="P103" s="2645"/>
      <c r="Q103" s="1819"/>
    </row>
    <row r="104" spans="1:17">
      <c r="A104" s="1819"/>
      <c r="B104" s="2623" t="s">
        <v>2049</v>
      </c>
      <c r="C104" s="1819"/>
      <c r="D104" s="1819"/>
      <c r="E104" s="1819"/>
      <c r="F104" s="1819"/>
      <c r="G104" s="1819"/>
      <c r="H104" s="2641"/>
      <c r="I104" s="2550">
        <f>'Part III-A-Uses of Funds'!$G$146</f>
        <v>11432050</v>
      </c>
      <c r="J104" s="2550"/>
      <c r="K104" s="1819"/>
      <c r="L104" s="1622"/>
      <c r="M104" s="2645"/>
      <c r="N104" s="2645"/>
      <c r="O104" s="2645"/>
      <c r="P104" s="2645"/>
      <c r="Q104" s="1819"/>
    </row>
    <row r="105" spans="1:17">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197.65">
      <c r="A109" s="2639" t="str">
        <f>'Part II-Sources of Funds'!A66</f>
        <v xml:space="preserve">The federal equity amount is based on a purchase of 98.99% of the limited partnership
The state equity amount is based on a 1.00% share of the federal tax credits and 100% of the state tax credits.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Dogwood Trail Apartments II,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9">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10000</v>
      </c>
      <c r="H122" s="2547"/>
      <c r="I122" s="1819"/>
      <c r="J122" s="2547">
        <f>'Part III-A-Uses of Funds'!J9</f>
        <v>10000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10000</v>
      </c>
      <c r="H123" s="2547"/>
      <c r="I123" s="1819"/>
      <c r="J123" s="2547">
        <f>'Part III-A-Uses of Funds'!J10</f>
        <v>10000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11900</v>
      </c>
      <c r="H124" s="2547"/>
      <c r="I124" s="1819"/>
      <c r="J124" s="2547">
        <f>'Part III-A-Uses of Funds'!J11</f>
        <v>11900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11000</v>
      </c>
      <c r="H125" s="2547"/>
      <c r="I125" s="1819"/>
      <c r="J125" s="2547">
        <f>'Part III-A-Uses of Funds'!J12</f>
        <v>11000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8000</v>
      </c>
      <c r="H126" s="2547"/>
      <c r="I126" s="1819"/>
      <c r="J126" s="2547">
        <f>'Part III-A-Uses of Funds'!J13</f>
        <v>0</v>
      </c>
      <c r="K126" s="2547"/>
      <c r="L126" s="2545"/>
      <c r="M126" s="2547">
        <f>'Part III-A-Uses of Funds'!M13</f>
        <v>0</v>
      </c>
      <c r="N126" s="2547"/>
      <c r="O126" s="1819"/>
      <c r="P126" s="2547">
        <f>'Part III-A-Uses of Funds'!P13</f>
        <v>0</v>
      </c>
      <c r="Q126" s="2547"/>
      <c r="R126" s="1819"/>
      <c r="S126" s="2547">
        <f>'Part III-A-Uses of Funds'!S13</f>
        <v>8000</v>
      </c>
      <c r="T126" s="2547"/>
      <c r="U126" s="1819"/>
      <c r="V126" s="2665"/>
    </row>
    <row r="127" spans="1:22">
      <c r="A127" s="1819"/>
      <c r="B127" s="1819" t="s">
        <v>183</v>
      </c>
      <c r="C127" s="1819"/>
      <c r="D127" s="1819"/>
      <c r="E127" s="1819"/>
      <c r="F127" s="1819"/>
      <c r="G127" s="2547">
        <f>'Part III-A-Uses of Funds'!G14</f>
        <v>200</v>
      </c>
      <c r="H127" s="2547"/>
      <c r="I127" s="1819"/>
      <c r="J127" s="2547">
        <f>'Part III-A-Uses of Funds'!J14</f>
        <v>200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51100</v>
      </c>
      <c r="H131" s="2547"/>
      <c r="I131" s="1819"/>
      <c r="J131" s="2547">
        <f>SUM(J122:J130)</f>
        <v>43100</v>
      </c>
      <c r="K131" s="2547"/>
      <c r="L131" s="2545"/>
      <c r="M131" s="2547">
        <f>SUM(M122:M130)</f>
        <v>0</v>
      </c>
      <c r="N131" s="2547"/>
      <c r="O131" s="1819"/>
      <c r="P131" s="2547">
        <f>SUM(P122:P130)</f>
        <v>0</v>
      </c>
      <c r="Q131" s="2547"/>
      <c r="R131" s="1819"/>
      <c r="S131" s="2547">
        <f>SUM(S122:S130)</f>
        <v>8000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14450.867052023121</v>
      </c>
      <c r="G133" s="2547">
        <f>'Part III-A-Uses of Funds'!G20</f>
        <v>50000</v>
      </c>
      <c r="H133" s="2547"/>
      <c r="I133" s="1819"/>
      <c r="J133" s="2545"/>
      <c r="K133" s="2547"/>
      <c r="L133" s="2545"/>
      <c r="M133" s="2545"/>
      <c r="N133" s="2547"/>
      <c r="O133" s="1819"/>
      <c r="P133" s="2545"/>
      <c r="Q133" s="2547"/>
      <c r="R133" s="1819"/>
      <c r="S133" s="2547">
        <f>'Part III-A-Uses of Funds'!S20</f>
        <v>50000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50000</v>
      </c>
      <c r="H137" s="2547"/>
      <c r="I137" s="1819"/>
      <c r="J137" s="2545"/>
      <c r="K137" s="2547"/>
      <c r="L137" s="2545"/>
      <c r="M137" s="2547">
        <f>SUM(M135:M136)</f>
        <v>0</v>
      </c>
      <c r="N137" s="2547"/>
      <c r="O137" s="1819"/>
      <c r="P137" s="2545"/>
      <c r="Q137" s="2547"/>
      <c r="R137" s="1819"/>
      <c r="S137" s="2547">
        <f>SUM(S133:S136)</f>
        <v>50000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289017.34104046243</v>
      </c>
      <c r="G139" s="2547">
        <f>'Part III-A-Uses of Funds'!G26</f>
        <v>1000000</v>
      </c>
      <c r="H139" s="2547"/>
      <c r="I139" s="1819"/>
      <c r="J139" s="2547">
        <f>'Part III-A-Uses of Funds'!J26</f>
        <v>1000000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1000000</v>
      </c>
      <c r="H141" s="2547"/>
      <c r="I141" s="1819"/>
      <c r="J141" s="2547">
        <f>SUM(J139:J140)</f>
        <v>1000000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5960000</v>
      </c>
      <c r="H143" s="2547"/>
      <c r="I143" s="1819"/>
      <c r="J143" s="2547">
        <f>'Part III-A-Uses of Funds'!J30</f>
        <v>5960000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200000</v>
      </c>
      <c r="H145" s="2547"/>
      <c r="I145" s="1819"/>
      <c r="J145" s="2547">
        <f>'Part III-A-Uses of Funds'!J32</f>
        <v>200000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6160000</v>
      </c>
      <c r="H149" s="2547"/>
      <c r="I149" s="1819"/>
      <c r="J149" s="2547">
        <f>SUM(J143:J148)</f>
        <v>6160000</v>
      </c>
      <c r="K149" s="2547"/>
      <c r="L149" s="2545"/>
      <c r="M149" s="2547">
        <f>SUM(M143:M148)</f>
        <v>0</v>
      </c>
      <c r="N149" s="2547"/>
      <c r="O149" s="1819"/>
      <c r="P149" s="2547">
        <f>SUM(P143:P148)</f>
        <v>0</v>
      </c>
      <c r="Q149" s="2547"/>
      <c r="R149" s="1819"/>
      <c r="S149" s="2547">
        <f>SUM(S143:S148)</f>
        <v>0</v>
      </c>
      <c r="T149" s="2547"/>
      <c r="U149" s="1819"/>
      <c r="V149" s="2665">
        <f>SUM(V143:V148)</f>
        <v>0</v>
      </c>
    </row>
    <row r="150" spans="1:22">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c r="A151" s="1819"/>
      <c r="B151" s="1819" t="s">
        <v>2164</v>
      </c>
      <c r="C151" s="1819"/>
      <c r="D151" s="2676">
        <f>'DCA Underwriting Assumptions'!$R$38</f>
        <v>0.06</v>
      </c>
      <c r="E151" s="2556">
        <f>ROUNDDOWN(D151*(G141+G149),0)</f>
        <v>429600</v>
      </c>
      <c r="F151" s="2676">
        <f>IF(($G$24+$G$32)=0,0,G151/($G$24+$G$32))</f>
        <v>0</v>
      </c>
      <c r="G151" s="2547">
        <f>'Part III-A-Uses of Funds'!G38</f>
        <v>429600</v>
      </c>
      <c r="H151" s="2547"/>
      <c r="I151" s="1819"/>
      <c r="J151" s="2547">
        <f>'Part III-A-Uses of Funds'!J38</f>
        <v>429600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c r="A152" s="1819"/>
      <c r="B152" s="1819" t="s">
        <v>2475</v>
      </c>
      <c r="C152" s="1819"/>
      <c r="D152" s="2676">
        <f>'DCA Underwriting Assumptions'!$R$39</f>
        <v>0.02</v>
      </c>
      <c r="E152" s="2556">
        <f>ROUNDDOWN(D152*(G141+G149),0)</f>
        <v>143200</v>
      </c>
      <c r="F152" s="2676">
        <f>IF(($G$24+$G$32)=0,0,G152/($G$24+$G$32))</f>
        <v>0</v>
      </c>
      <c r="G152" s="2547">
        <f>'Part III-A-Uses of Funds'!G39</f>
        <v>143200</v>
      </c>
      <c r="H152" s="2547"/>
      <c r="I152" s="378"/>
      <c r="J152" s="2547">
        <f>'Part III-A-Uses of Funds'!J39</f>
        <v>143200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c r="A153" s="1819"/>
      <c r="B153" s="1819" t="s">
        <v>2476</v>
      </c>
      <c r="C153" s="1819"/>
      <c r="D153" s="2676">
        <f>'DCA Underwriting Assumptions'!$R$40</f>
        <v>0.06</v>
      </c>
      <c r="E153" s="2556">
        <f>ROUNDDOWN(D153*(G141+G149),0)</f>
        <v>429600</v>
      </c>
      <c r="F153" s="2676">
        <f>IF(($G$24+$G$32)=0,0,G153/($G$24+$G$32))</f>
        <v>0</v>
      </c>
      <c r="G153" s="2547">
        <f>'Part III-A-Uses of Funds'!G40</f>
        <v>429600</v>
      </c>
      <c r="H153" s="2547"/>
      <c r="I153" s="378"/>
      <c r="J153" s="2547">
        <f>'Part III-A-Uses of Funds'!J40</f>
        <v>429600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c r="A154" s="1819"/>
      <c r="B154" s="2622" t="s">
        <v>3225</v>
      </c>
      <c r="C154" s="1819"/>
      <c r="D154" s="2674">
        <f>SUM(D151:D153)</f>
        <v>0.14000000000000001</v>
      </c>
      <c r="E154" s="2677">
        <f>SUM(E151:E153)</f>
        <v>1002400</v>
      </c>
      <c r="F154" s="2669" t="s">
        <v>184</v>
      </c>
      <c r="G154" s="2547">
        <f>SUM(G151:G153)</f>
        <v>1002400</v>
      </c>
      <c r="H154" s="2547"/>
      <c r="I154" s="1819"/>
      <c r="J154" s="2547">
        <f>SUM(J151:J153)</f>
        <v>1002400</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8162400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6953</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6954</v>
      </c>
      <c r="C161" s="2681"/>
      <c r="D161" s="1819"/>
      <c r="E161" s="2616" t="s">
        <v>2478</v>
      </c>
      <c r="F161" s="2557">
        <f>C162/'Part V-Revenues &amp; Expenses'!$P$65</f>
        <v>204060</v>
      </c>
      <c r="G161" s="2682" t="s">
        <v>6955</v>
      </c>
      <c r="H161" s="1819"/>
      <c r="I161" s="1819"/>
      <c r="J161" s="2558">
        <f>C162/'Part V-Revenues &amp; Expenses'!$P$67</f>
        <v>204060</v>
      </c>
      <c r="K161" s="2558"/>
      <c r="L161" s="1819"/>
      <c r="M161" s="2683" t="s">
        <v>6475</v>
      </c>
      <c r="N161" s="2683"/>
      <c r="O161" s="1819"/>
      <c r="P161" s="2558">
        <f>C162/'Part V-Revenues &amp; Expenses'!$K$175</f>
        <v>145.53364475983312</v>
      </c>
      <c r="Q161" s="2558"/>
      <c r="R161" s="1819"/>
      <c r="S161" s="2684" t="s">
        <v>6477</v>
      </c>
      <c r="T161" s="2684"/>
      <c r="U161" s="1819"/>
      <c r="V161" s="2665"/>
    </row>
    <row r="162" spans="1:22">
      <c r="A162" s="1819"/>
      <c r="B162" s="2685" t="s">
        <v>6488</v>
      </c>
      <c r="C162" s="2686">
        <f>G141+G149+G154+G159</f>
        <v>8162400</v>
      </c>
      <c r="D162" s="1819"/>
      <c r="E162" s="2616"/>
      <c r="F162" s="2557">
        <f>C162/'Part V-Revenues &amp; Expenses'!$P$166</f>
        <v>216.39448568398728</v>
      </c>
      <c r="G162" s="2684" t="s">
        <v>6956</v>
      </c>
      <c r="H162" s="1819"/>
      <c r="I162" s="1819"/>
      <c r="J162" s="2558">
        <f>C162/'Part V-Revenues &amp; Expenses'!$P$168</f>
        <v>216.39448568398728</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6957</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408120</v>
      </c>
      <c r="F168" s="2650">
        <f>G168/C162</f>
        <v>0.05</v>
      </c>
      <c r="G168" s="2547">
        <f>'Part III-A-Uses of Funds'!G55</f>
        <v>408120</v>
      </c>
      <c r="H168" s="2547"/>
      <c r="I168" s="1819"/>
      <c r="J168" s="2547">
        <f>'Part III-A-Uses of Funds'!J55</f>
        <v>0</v>
      </c>
      <c r="K168" s="2547"/>
      <c r="L168" s="2545"/>
      <c r="M168" s="2547">
        <f>'Part III-A-Uses of Funds'!M55</f>
        <v>0</v>
      </c>
      <c r="N168" s="2547"/>
      <c r="O168" s="1819"/>
      <c r="P168" s="2547">
        <f>'Part III-A-Uses of Funds'!P55</f>
        <v>0</v>
      </c>
      <c r="Q168" s="2547"/>
      <c r="R168" s="1819"/>
      <c r="S168" s="2547">
        <f>'Part III-A-Uses of Funds'!S55</f>
        <v>408120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214263</v>
      </c>
      <c r="G170" s="2682" t="s">
        <v>6955</v>
      </c>
      <c r="H170" s="1819"/>
      <c r="I170" s="1819"/>
      <c r="J170" s="2558">
        <f>B171/'Part V-Revenues &amp; Expenses'!$P$67</f>
        <v>214263</v>
      </c>
      <c r="K170" s="2558"/>
      <c r="L170" s="1819"/>
      <c r="M170" s="2683" t="s">
        <v>6475</v>
      </c>
      <c r="N170" s="2683"/>
      <c r="O170" s="1819"/>
      <c r="P170" s="2558">
        <f>B171/'Part V-Revenues &amp; Expenses'!$K$175</f>
        <v>152.81032699782477</v>
      </c>
      <c r="Q170" s="2558"/>
      <c r="R170" s="1819"/>
      <c r="S170" s="2684" t="s">
        <v>6477</v>
      </c>
      <c r="T170" s="2684"/>
      <c r="U170" s="1819"/>
      <c r="V170" s="2665"/>
    </row>
    <row r="171" spans="1:22">
      <c r="A171" s="1819"/>
      <c r="B171" s="2686">
        <f>C162+G168</f>
        <v>8570520</v>
      </c>
      <c r="C171" s="2686"/>
      <c r="D171" s="1819"/>
      <c r="E171" s="2616"/>
      <c r="F171" s="2557">
        <f>B171/'Part V-Revenues &amp; Expenses'!$P$166</f>
        <v>227.21420996818665</v>
      </c>
      <c r="G171" s="2684" t="s">
        <v>6956</v>
      </c>
      <c r="H171" s="1819"/>
      <c r="I171" s="1819"/>
      <c r="J171" s="2558">
        <f>B171/'Part V-Revenues &amp; Expenses'!$P$168</f>
        <v>227.21420996818665</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92969</v>
      </c>
      <c r="H176" s="2547"/>
      <c r="I176" s="1819"/>
      <c r="J176" s="2547">
        <f>'Part III-A-Uses of Funds'!J63</f>
        <v>92969</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450673</v>
      </c>
      <c r="H177" s="2547"/>
      <c r="I177" s="1819"/>
      <c r="J177" s="2547">
        <f>'Part III-A-Uses of Funds'!J64</f>
        <v>405606</v>
      </c>
      <c r="K177" s="2547"/>
      <c r="L177" s="2545"/>
      <c r="M177" s="2547">
        <f>'Part III-A-Uses of Funds'!M64</f>
        <v>0</v>
      </c>
      <c r="N177" s="2547"/>
      <c r="O177" s="1819"/>
      <c r="P177" s="2547">
        <f>'Part III-A-Uses of Funds'!P64</f>
        <v>0</v>
      </c>
      <c r="Q177" s="2547"/>
      <c r="R177" s="1819"/>
      <c r="S177" s="2547">
        <f>'Part III-A-Uses of Funds'!S64</f>
        <v>45067</v>
      </c>
      <c r="T177" s="2547"/>
      <c r="U177" s="1819"/>
      <c r="V177" s="2665"/>
    </row>
    <row r="178" spans="1:22">
      <c r="A178" s="1819"/>
      <c r="B178" s="1819" t="s">
        <v>2168</v>
      </c>
      <c r="C178" s="1819"/>
      <c r="D178" s="1819"/>
      <c r="E178" s="1819"/>
      <c r="F178" s="1819"/>
      <c r="G178" s="2547">
        <f>'Part III-A-Uses of Funds'!G65</f>
        <v>55000</v>
      </c>
      <c r="H178" s="2547"/>
      <c r="I178" s="1819"/>
      <c r="J178" s="2547">
        <f>'Part III-A-Uses of Funds'!J65</f>
        <v>55000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16000</v>
      </c>
      <c r="H179" s="2547"/>
      <c r="I179" s="1819"/>
      <c r="J179" s="2547">
        <f>'Part III-A-Uses of Funds'!J66</f>
        <v>16000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15000</v>
      </c>
      <c r="H180" s="2547"/>
      <c r="I180" s="1819"/>
      <c r="J180" s="2547">
        <f>'Part III-A-Uses of Funds'!J67</f>
        <v>15000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48000</v>
      </c>
      <c r="H181" s="2547"/>
      <c r="I181" s="1819"/>
      <c r="J181" s="2547">
        <f>'Part III-A-Uses of Funds'!J68</f>
        <v>48000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45722</v>
      </c>
      <c r="H182" s="2547"/>
      <c r="I182" s="1819"/>
      <c r="J182" s="2547">
        <f>'Part III-A-Uses of Funds'!J69</f>
        <v>36578</v>
      </c>
      <c r="K182" s="2547"/>
      <c r="L182" s="2545"/>
      <c r="M182" s="2547">
        <f>'Part III-A-Uses of Funds'!M69</f>
        <v>0</v>
      </c>
      <c r="N182" s="2547"/>
      <c r="O182" s="1819"/>
      <c r="P182" s="2547">
        <f>'Part III-A-Uses of Funds'!P69</f>
        <v>0</v>
      </c>
      <c r="Q182" s="2547"/>
      <c r="R182" s="1819"/>
      <c r="S182" s="2547">
        <f>'Part III-A-Uses of Funds'!S69</f>
        <v>9144</v>
      </c>
      <c r="T182" s="2547"/>
      <c r="U182" s="1819"/>
      <c r="V182" s="2665"/>
    </row>
    <row r="183" spans="1:22">
      <c r="A183" s="1819"/>
      <c r="B183" s="2689" t="s">
        <v>1085</v>
      </c>
      <c r="C183" s="1819"/>
      <c r="D183" s="2690"/>
      <c r="E183" s="2690"/>
      <c r="F183" s="2559"/>
      <c r="G183" s="2547">
        <f>'Part III-A-Uses of Funds'!G70</f>
        <v>49000</v>
      </c>
      <c r="H183" s="2547"/>
      <c r="I183" s="378"/>
      <c r="J183" s="2547">
        <f>'Part III-A-Uses of Funds'!J70</f>
        <v>49000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772364</v>
      </c>
      <c r="H186" s="2547"/>
      <c r="I186" s="1819"/>
      <c r="J186" s="2547">
        <f>SUM(J174:J185)</f>
        <v>718153</v>
      </c>
      <c r="K186" s="2547"/>
      <c r="L186" s="2545"/>
      <c r="M186" s="2547">
        <f>SUM(M174:M185)</f>
        <v>0</v>
      </c>
      <c r="N186" s="2547"/>
      <c r="O186" s="1819"/>
      <c r="P186" s="2547">
        <f>SUM(P174:P185)</f>
        <v>0</v>
      </c>
      <c r="Q186" s="2547"/>
      <c r="R186" s="1819"/>
      <c r="S186" s="2547">
        <f>SUM(S174:S185)</f>
        <v>54211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96000</v>
      </c>
      <c r="H188" s="2547"/>
      <c r="I188" s="1819"/>
      <c r="J188" s="2547">
        <f>'Part III-A-Uses of Funds'!J75</f>
        <v>96000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24000</v>
      </c>
      <c r="H189" s="2547"/>
      <c r="I189" s="1819"/>
      <c r="J189" s="2547">
        <f>'Part III-A-Uses of Funds'!J76</f>
        <v>24000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3000</v>
      </c>
      <c r="H191" s="2547"/>
      <c r="I191" s="1819"/>
      <c r="J191" s="2547">
        <f>'Part III-A-Uses of Funds'!J78</f>
        <v>3000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8100</v>
      </c>
      <c r="H192" s="2547"/>
      <c r="I192" s="1819"/>
      <c r="J192" s="2547">
        <f>'Part III-A-Uses of Funds'!J79</f>
        <v>8100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35000</v>
      </c>
      <c r="H193" s="2547"/>
      <c r="I193" s="1819"/>
      <c r="J193" s="2547">
        <f>'Part III-A-Uses of Funds'!J80</f>
        <v>35000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60000</v>
      </c>
      <c r="H194" s="2547"/>
      <c r="I194" s="1819"/>
      <c r="J194" s="2547">
        <f>'Part III-A-Uses of Funds'!J81</f>
        <v>60000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40000</v>
      </c>
      <c r="H195" s="2547"/>
      <c r="I195" s="1819"/>
      <c r="J195" s="2547">
        <f>'Part III-A-Uses of Funds'!J82</f>
        <v>40000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18000</v>
      </c>
      <c r="H196" s="2547"/>
      <c r="I196" s="1819"/>
      <c r="J196" s="2547">
        <f>'Part III-A-Uses of Funds'!J83</f>
        <v>18000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15000</v>
      </c>
      <c r="H197" s="2547"/>
      <c r="I197" s="1819"/>
      <c r="J197" s="2547">
        <f>'Part III-A-Uses of Funds'!J84</f>
        <v>15000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319100</v>
      </c>
      <c r="H199" s="2547"/>
      <c r="I199" s="1819"/>
      <c r="J199" s="2547">
        <f>SUM(J188:J198)</f>
        <v>319100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3228</v>
      </c>
      <c r="E200" s="2693">
        <f>G205/'Part V-Revenues &amp; Expenses'!$P$67</f>
        <v>1788.5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27700</v>
      </c>
      <c r="H201" s="2547"/>
      <c r="I201" s="1819"/>
      <c r="J201" s="2547">
        <f>'Part III-A-Uses of Funds'!J88</f>
        <v>27700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33590</v>
      </c>
      <c r="H203" s="2547"/>
      <c r="I203" s="378"/>
      <c r="J203" s="2547">
        <f>'Part III-A-Uses of Funds'!J90</f>
        <v>33590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10250</v>
      </c>
      <c r="H204" s="2547"/>
      <c r="I204" s="378"/>
      <c r="J204" s="2547">
        <f>'Part III-A-Uses of Funds'!J91</f>
        <v>10250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71540</v>
      </c>
      <c r="H205" s="2547"/>
      <c r="I205" s="1819"/>
      <c r="J205" s="2547">
        <f>SUM(J201:J204)</f>
        <v>71540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6958</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20000</v>
      </c>
      <c r="H210" s="2547"/>
      <c r="I210" s="1819"/>
      <c r="J210" s="2547"/>
      <c r="K210" s="2547"/>
      <c r="L210" s="2545"/>
      <c r="M210" s="2547"/>
      <c r="N210" s="2547"/>
      <c r="O210" s="1819"/>
      <c r="P210" s="2547"/>
      <c r="Q210" s="2547"/>
      <c r="R210" s="1819"/>
      <c r="S210" s="2547">
        <f>'Part III-A-Uses of Funds'!S97</f>
        <v>20000</v>
      </c>
      <c r="T210" s="2547"/>
      <c r="U210" s="1819"/>
      <c r="V210" s="2665"/>
    </row>
    <row r="211" spans="1:33">
      <c r="A211" s="1819"/>
      <c r="B211" s="1819" t="s">
        <v>1199</v>
      </c>
      <c r="C211" s="1819"/>
      <c r="D211" s="1819"/>
      <c r="E211" s="1819"/>
      <c r="F211" s="1819"/>
      <c r="G211" s="2547">
        <f>'Part III-A-Uses of Funds'!G98</f>
        <v>17000</v>
      </c>
      <c r="H211" s="2547"/>
      <c r="I211" s="1819"/>
      <c r="J211" s="2547"/>
      <c r="K211" s="2547"/>
      <c r="L211" s="2545"/>
      <c r="M211" s="2547"/>
      <c r="N211" s="2547"/>
      <c r="O211" s="1819"/>
      <c r="P211" s="2547"/>
      <c r="Q211" s="2547"/>
      <c r="R211" s="1819"/>
      <c r="S211" s="2547">
        <f>'Part III-A-Uses of Funds'!S98</f>
        <v>17000</v>
      </c>
      <c r="T211" s="2547"/>
      <c r="U211" s="1819"/>
      <c r="V211" s="2665"/>
    </row>
    <row r="212" spans="1:33">
      <c r="A212" s="1819"/>
      <c r="B212" s="1819" t="s">
        <v>1200</v>
      </c>
      <c r="C212" s="1819"/>
      <c r="D212" s="1819"/>
      <c r="E212" s="1819"/>
      <c r="F212" s="1819"/>
      <c r="G212" s="2547">
        <f>'Part III-A-Uses of Funds'!G99</f>
        <v>2500</v>
      </c>
      <c r="H212" s="2547"/>
      <c r="I212" s="1819"/>
      <c r="J212" s="2547"/>
      <c r="K212" s="2547"/>
      <c r="L212" s="2545"/>
      <c r="M212" s="2547"/>
      <c r="N212" s="2547"/>
      <c r="O212" s="1819"/>
      <c r="P212" s="2547"/>
      <c r="Q212" s="2547"/>
      <c r="R212" s="1819"/>
      <c r="S212" s="2547">
        <f>'Part III-A-Uses of Funds'!S99</f>
        <v>2500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39500</v>
      </c>
      <c r="H216" s="2547"/>
      <c r="I216" s="1819"/>
      <c r="J216" s="2547"/>
      <c r="K216" s="2547"/>
      <c r="L216" s="2545"/>
      <c r="M216" s="2547"/>
      <c r="N216" s="2547"/>
      <c r="O216" s="1819"/>
      <c r="P216" s="2547"/>
      <c r="Q216" s="2547"/>
      <c r="R216" s="1819"/>
      <c r="S216" s="2547">
        <f>SUM(S210:S215)</f>
        <v>39500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40</v>
      </c>
      <c r="AC219" s="1819"/>
      <c r="AD219" s="1819"/>
      <c r="AE219" s="1819"/>
      <c r="AF219" s="1819"/>
      <c r="AG219" s="1819"/>
    </row>
    <row r="220" spans="1:33">
      <c r="A220" s="1819"/>
      <c r="B220" s="1819" t="s">
        <v>3318</v>
      </c>
      <c r="C220" s="1819"/>
      <c r="D220" s="1819"/>
      <c r="E220" s="1819"/>
      <c r="F220" s="1819"/>
      <c r="G220" s="2547">
        <f>'Part III-A-Uses of Funds'!G107</f>
        <v>1000</v>
      </c>
      <c r="H220" s="2547"/>
      <c r="I220" s="1819"/>
      <c r="J220" s="2545"/>
      <c r="K220" s="2545"/>
      <c r="L220" s="2560"/>
      <c r="M220" s="2545"/>
      <c r="N220" s="2545"/>
      <c r="O220" s="1819"/>
      <c r="P220" s="2545"/>
      <c r="Q220" s="2545"/>
      <c r="R220" s="1819"/>
      <c r="S220" s="2547">
        <f>'Part III-A-Uses of Funds'!S107</f>
        <v>1000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63937</v>
      </c>
      <c r="F221" s="2561"/>
      <c r="G221" s="2547">
        <f>'Part III-A-Uses of Funds'!G108</f>
        <v>63937</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63937</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40000</v>
      </c>
      <c r="F222" s="2561"/>
      <c r="G222" s="2547">
        <f>'Part III-A-Uses of Funds'!G109</f>
        <v>40000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40000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40</v>
      </c>
      <c r="AC226" s="1819"/>
      <c r="AD226" s="2703">
        <f>IF($AD$101="Income Averaging",AB226*'DCA Underwriting Assumptions'!$Q$61,AB226*'DCA Underwriting Assumptions'!$Q$60)</f>
        <v>32000</v>
      </c>
      <c r="AE226" s="1819"/>
      <c r="AF226" s="1819"/>
      <c r="AG226" s="1819"/>
    </row>
    <row r="227" spans="1:33">
      <c r="A227" s="1819"/>
      <c r="B227" s="1819"/>
      <c r="C227" s="1819"/>
      <c r="D227" s="1819"/>
      <c r="E227" s="1819"/>
      <c r="F227" s="2669" t="s">
        <v>184</v>
      </c>
      <c r="G227" s="2547">
        <f>SUM(G218:G226)</f>
        <v>122937</v>
      </c>
      <c r="H227" s="2547"/>
      <c r="I227" s="1819"/>
      <c r="J227" s="2545"/>
      <c r="K227" s="2545"/>
      <c r="L227" s="2545"/>
      <c r="M227" s="2545"/>
      <c r="N227" s="2545"/>
      <c r="O227" s="1819"/>
      <c r="P227" s="2545"/>
      <c r="Q227" s="2545"/>
      <c r="R227" s="1819"/>
      <c r="S227" s="2547">
        <f>SUM(S218:S226)</f>
        <v>122937</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40</v>
      </c>
      <c r="AC228" s="1819"/>
      <c r="AD228" s="2706">
        <f>SUM(AD226:AD227)</f>
        <v>32000</v>
      </c>
      <c r="AE228" s="1819"/>
      <c r="AF228" s="1819"/>
      <c r="AG228" s="1819"/>
    </row>
    <row r="229" spans="1:33">
      <c r="A229" s="1819"/>
      <c r="B229" s="1819" t="s">
        <v>267</v>
      </c>
      <c r="C229" s="1819"/>
      <c r="D229" s="1819"/>
      <c r="E229" s="1819"/>
      <c r="F229" s="1819"/>
      <c r="G229" s="2547">
        <f>'Part III-A-Uses of Funds'!G116</f>
        <v>2000</v>
      </c>
      <c r="H229" s="2547"/>
      <c r="I229" s="1819"/>
      <c r="J229" s="2547"/>
      <c r="K229" s="2547"/>
      <c r="L229" s="2545"/>
      <c r="M229" s="2547"/>
      <c r="N229" s="2547"/>
      <c r="O229" s="1819"/>
      <c r="P229" s="2547"/>
      <c r="Q229" s="2547"/>
      <c r="R229" s="1819"/>
      <c r="S229" s="2547">
        <f>'Part III-A-Uses of Funds'!S116</f>
        <v>2000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2500</v>
      </c>
      <c r="H230" s="2547"/>
      <c r="I230" s="1819"/>
      <c r="J230" s="2547"/>
      <c r="K230" s="2547"/>
      <c r="L230" s="2545"/>
      <c r="M230" s="2547"/>
      <c r="N230" s="2547"/>
      <c r="O230" s="1819"/>
      <c r="P230" s="2547"/>
      <c r="Q230" s="2547"/>
      <c r="R230" s="1819"/>
      <c r="S230" s="2547">
        <f>'Part III-A-Uses of Funds'!S117</f>
        <v>2500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55000</v>
      </c>
      <c r="H231" s="2547"/>
      <c r="I231" s="1819"/>
      <c r="J231" s="2547"/>
      <c r="K231" s="2547"/>
      <c r="L231" s="2545"/>
      <c r="M231" s="2547"/>
      <c r="N231" s="2547"/>
      <c r="O231" s="1819"/>
      <c r="P231" s="2547"/>
      <c r="Q231" s="2547"/>
      <c r="R231" s="1819"/>
      <c r="S231" s="2547">
        <f>'Part III-A-Uses of Funds'!S118</f>
        <v>55000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59500</v>
      </c>
      <c r="H233" s="2547"/>
      <c r="I233" s="1819"/>
      <c r="J233" s="2547"/>
      <c r="K233" s="2547"/>
      <c r="L233" s="2545"/>
      <c r="M233" s="2547"/>
      <c r="N233" s="2547"/>
      <c r="O233" s="1819"/>
      <c r="P233" s="2547"/>
      <c r="Q233" s="2547"/>
      <c r="R233" s="1819"/>
      <c r="S233" s="2547">
        <f>SUM(S229:S232)</f>
        <v>59500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c r="A235" s="1819"/>
      <c r="B235" s="1819" t="s">
        <v>1724</v>
      </c>
      <c r="C235" s="1819"/>
      <c r="D235" s="1819"/>
      <c r="E235" s="1819"/>
      <c r="F235" s="2649">
        <f>'Part III-A-Uses of Funds'!F122</f>
        <v>0.29963636363636365</v>
      </c>
      <c r="G235" s="2547">
        <f>'Part III-A-Uses of Funds'!G122</f>
        <v>329600</v>
      </c>
      <c r="H235" s="2547"/>
      <c r="I235" s="1819"/>
      <c r="J235" s="2547">
        <f>'Part III-A-Uses of Funds'!J122</f>
        <v>329600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c r="A236" s="1819"/>
      <c r="B236" s="1819" t="s">
        <v>3411</v>
      </c>
      <c r="C236" s="1819"/>
      <c r="D236" s="1819"/>
      <c r="E236" s="1819"/>
      <c r="F236" s="2564">
        <f>'Part III-A-Uses of Funds'!F123</f>
        <v>329600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c r="A239" s="1819"/>
      <c r="B239" s="1819" t="s">
        <v>1717</v>
      </c>
      <c r="C239" s="1819"/>
      <c r="D239" s="1819"/>
      <c r="E239" s="1819"/>
      <c r="F239" s="2649">
        <f>'Part III-A-Uses of Funds'!F126</f>
        <v>0.70036363636363641</v>
      </c>
      <c r="G239" s="2547">
        <f>'Part III-A-Uses of Funds'!G126</f>
        <v>770400</v>
      </c>
      <c r="H239" s="2547"/>
      <c r="I239" s="1819"/>
      <c r="J239" s="2547">
        <f>'Part III-A-Uses of Funds'!J126</f>
        <v>770400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c r="A240" s="2714" t="str">
        <f>IF(G240&gt;E240,"DF over limit!  Round down/Enter nbr.","")</f>
        <v/>
      </c>
      <c r="B240" s="2715"/>
      <c r="C240" s="1819"/>
      <c r="D240" s="2654" t="s">
        <v>3921</v>
      </c>
      <c r="E240" s="2716">
        <f>'Part III-A-Uses of Funds'!E127</f>
        <v>1100000</v>
      </c>
      <c r="F240" s="2669" t="s">
        <v>184</v>
      </c>
      <c r="G240" s="2547">
        <f>SUM(G235:G239)</f>
        <v>1100000</v>
      </c>
      <c r="H240" s="2547"/>
      <c r="I240" s="1819"/>
      <c r="J240" s="2547">
        <f>SUM(J235:J239)</f>
        <v>1100000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30000</v>
      </c>
      <c r="H242" s="2547"/>
      <c r="I242" s="1819"/>
      <c r="J242" s="2560"/>
      <c r="K242" s="2560"/>
      <c r="L242" s="2560"/>
      <c r="M242" s="2560"/>
      <c r="N242" s="2560"/>
      <c r="O242" s="1819"/>
      <c r="P242" s="2560"/>
      <c r="Q242" s="2560"/>
      <c r="R242" s="1819"/>
      <c r="S242" s="2547">
        <f>'Part III-A-Uses of Funds'!S129</f>
        <v>30000</v>
      </c>
      <c r="T242" s="2547"/>
      <c r="U242" s="1819"/>
      <c r="V242" s="2665"/>
    </row>
    <row r="243" spans="1:22">
      <c r="A243" s="1819"/>
      <c r="B243" s="1819" t="s">
        <v>1436</v>
      </c>
      <c r="C243" s="1819"/>
      <c r="D243" s="1819"/>
      <c r="E243" s="1819"/>
      <c r="F243" s="2717">
        <f>'Part III-A-Uses of Funds'!F130</f>
        <v>45303.5</v>
      </c>
      <c r="G243" s="2547">
        <f>'Part III-A-Uses of Funds'!G130</f>
        <v>45304</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45304</v>
      </c>
      <c r="T243" s="2547"/>
      <c r="U243" s="1819"/>
      <c r="V243" s="2665"/>
    </row>
    <row r="244" spans="1:22">
      <c r="A244" s="1819"/>
      <c r="B244" s="1819" t="s">
        <v>632</v>
      </c>
      <c r="C244" s="1819"/>
      <c r="D244" s="1819"/>
      <c r="E244" s="1819"/>
      <c r="F244" s="2717">
        <f>'Part III-A-Uses of Funds'!F131</f>
        <v>115185.08182523506</v>
      </c>
      <c r="G244" s="2547">
        <f>'Part III-A-Uses of Funds'!G131</f>
        <v>120185</v>
      </c>
      <c r="H244" s="2547"/>
      <c r="I244" s="1819"/>
      <c r="J244" s="2565" t="str">
        <f>IF(E244&gt;G244,"WARNING! ODR proposed is below minimum - add comment.","")</f>
        <v/>
      </c>
      <c r="K244" s="2560"/>
      <c r="L244" s="2560"/>
      <c r="M244" s="2560"/>
      <c r="N244" s="2560"/>
      <c r="O244" s="1819"/>
      <c r="P244" s="2560"/>
      <c r="Q244" s="2560"/>
      <c r="R244" s="1819"/>
      <c r="S244" s="2547">
        <f>'Part III-A-Uses of Funds'!S131</f>
        <v>120185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2000</v>
      </c>
      <c r="G246" s="2547">
        <f>'Part III-A-Uses of Funds'!G133</f>
        <v>80000</v>
      </c>
      <c r="H246" s="2547"/>
      <c r="I246" s="1819"/>
      <c r="J246" s="2547">
        <f>'Part III-A-Uses of Funds'!J133</f>
        <v>0</v>
      </c>
      <c r="K246" s="2547"/>
      <c r="L246" s="2545"/>
      <c r="M246" s="2547">
        <f>'Part III-A-Uses of Funds'!M133</f>
        <v>0</v>
      </c>
      <c r="N246" s="2547"/>
      <c r="O246" s="1819"/>
      <c r="P246" s="2547">
        <f>'Part III-A-Uses of Funds'!P133</f>
        <v>0</v>
      </c>
      <c r="Q246" s="2547"/>
      <c r="R246" s="1819"/>
      <c r="S246" s="2547">
        <f>'Part III-A-Uses of Funds'!S133</f>
        <v>80000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t="str">
        <f>'Part III-A-Uses of Funds'!S134</f>
        <v>.</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275489</v>
      </c>
      <c r="H248" s="2547"/>
      <c r="I248" s="1819"/>
      <c r="J248" s="2547">
        <f>SUM(J246:J247)</f>
        <v>0</v>
      </c>
      <c r="K248" s="2547"/>
      <c r="L248" s="2545"/>
      <c r="M248" s="2547">
        <f>SUM(M246:M247)</f>
        <v>0</v>
      </c>
      <c r="N248" s="2547"/>
      <c r="O248" s="1819"/>
      <c r="P248" s="2547">
        <f>SUM(P246:P247)</f>
        <v>0</v>
      </c>
      <c r="Q248" s="2547"/>
      <c r="R248" s="1819"/>
      <c r="S248" s="2547">
        <f>SUM(S242:S247)</f>
        <v>275489</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6958</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5">
      <c r="A259" s="1819"/>
      <c r="B259" s="2721" t="s">
        <v>6959</v>
      </c>
      <c r="C259" s="1819"/>
      <c r="D259" s="1819"/>
      <c r="E259" s="2670"/>
      <c r="F259" s="2722"/>
      <c r="G259" s="2567">
        <f>G131+G137+G141+G149+G154+G159+G168+G186+G199+G205+G216+G227+G233+G240+G248+G257</f>
        <v>11432050</v>
      </c>
      <c r="H259" s="2567"/>
      <c r="I259" s="1819"/>
      <c r="J259" s="2567">
        <f>J131+J137+J141+J149+J154+J159+J168+J186+J199+J205+J216+J227+J233+J240+J248+J257</f>
        <v>10414293</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1017757</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6960</v>
      </c>
      <c r="C261" s="2681"/>
      <c r="D261" s="2568">
        <f>IF('Part V-Revenues &amp; Expenses'!$P$67=0,0,G259/'Part V-Revenues &amp; Expenses'!$P$67)</f>
        <v>285801.25</v>
      </c>
      <c r="E261" s="2568"/>
      <c r="F261" s="2695" t="s">
        <v>2487</v>
      </c>
      <c r="G261" s="2568">
        <f>IF('Part V-Revenues &amp; Expenses'!$K$175=0,0,G259/'Part V-Revenues &amp; Expenses'!$K$175)</f>
        <v>203.83072424490959</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10414293</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10414293</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13538580.9</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13538580.9</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1218472.281</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1218472</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6961</v>
      </c>
      <c r="C289" s="1819"/>
      <c r="D289" s="1819"/>
      <c r="E289" s="1819"/>
      <c r="F289" s="1819"/>
      <c r="G289" s="1819"/>
      <c r="H289" s="1819"/>
      <c r="I289" s="1819"/>
      <c r="J289" s="2648">
        <f>G259</f>
        <v>11432050</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641200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10790850</v>
      </c>
      <c r="K291" s="2648"/>
      <c r="L291" s="2648"/>
      <c r="M291" s="2727"/>
      <c r="N291" s="2727"/>
      <c r="O291" s="2727"/>
      <c r="P291" s="2727"/>
      <c r="Q291" s="2727"/>
      <c r="R291" s="1819"/>
      <c r="S291" s="2709"/>
      <c r="T291" s="2709"/>
      <c r="U291" s="1819"/>
      <c r="V291" s="2665"/>
    </row>
    <row r="292" spans="1:22">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c r="A293" s="1819"/>
      <c r="B293" s="1819" t="s">
        <v>1210</v>
      </c>
      <c r="C293" s="1819"/>
      <c r="D293" s="1819"/>
      <c r="E293" s="1819"/>
      <c r="F293" s="1819"/>
      <c r="G293" s="1819"/>
      <c r="H293" s="1819"/>
      <c r="I293" s="1819"/>
      <c r="J293" s="2648">
        <f>J291/10</f>
        <v>1079085</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6962</v>
      </c>
      <c r="C295" s="1819"/>
      <c r="D295" s="1819"/>
      <c r="E295" s="1819"/>
      <c r="F295" s="1819"/>
      <c r="G295" s="1819"/>
      <c r="H295" s="1819"/>
      <c r="I295" s="1819"/>
      <c r="J295" s="2733">
        <f>N295+Q295</f>
        <v>1.35</v>
      </c>
      <c r="K295" s="2733"/>
      <c r="L295" s="2733"/>
      <c r="M295" s="1622" t="s">
        <v>1212</v>
      </c>
      <c r="N295" s="2734">
        <f>'Part III-A-Uses of Funds'!N182</f>
        <v>0.83</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799322</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6963</v>
      </c>
      <c r="C300" s="1819"/>
      <c r="D300" s="1819"/>
      <c r="E300" s="1819"/>
      <c r="F300" s="1819"/>
      <c r="G300" s="1819"/>
      <c r="H300" s="1819"/>
      <c r="I300" s="1819"/>
      <c r="J300" s="2647">
        <f>'Part III-A-Uses of Funds'!J187</f>
        <v>799322</v>
      </c>
      <c r="K300" s="2647"/>
      <c r="L300" s="2647"/>
      <c r="M300" s="1819"/>
      <c r="N300" s="1819"/>
      <c r="O300" s="1819"/>
      <c r="P300" s="1819"/>
      <c r="Q300" s="2622" t="s">
        <v>6247</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6964</v>
      </c>
      <c r="C302" s="1819"/>
      <c r="D302" s="1819"/>
      <c r="E302" s="1819"/>
      <c r="F302" s="1819"/>
      <c r="G302" s="1819"/>
      <c r="H302" s="1819"/>
      <c r="I302" s="1819"/>
      <c r="J302" s="2647">
        <f>'Part III-A-Uses of Funds'!J189</f>
        <v>799212</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5">
      <c r="A304" s="2664"/>
      <c r="B304" s="2664" t="s">
        <v>6965</v>
      </c>
      <c r="C304" s="1819"/>
      <c r="D304" s="378"/>
      <c r="E304" s="378"/>
      <c r="F304" s="2623"/>
      <c r="G304" s="1819"/>
      <c r="H304" s="1819"/>
      <c r="I304" s="1819"/>
      <c r="J304" s="2647">
        <f>IF(J302="",0,+MIN(J300,J302))</f>
        <v>799212</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Hard Costs were estimated using the general contractors current costs for comparable buildings under constuction or in the bid phase. Costs include an elevator in each building to reach the second floor.
     The Federal Syndicator requires that replacement reserves be included in the Operating Deficit Reserve Calculation resulting in a slightly higher ODR than calculated by the Core Application..</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
      <c r="A314" s="2739" t="str">
        <f>CONCATENATE("PART THREE (B) -  OTHER COSTS","  -  ",'Part I-Project Identification'!$O$7," - ",'Part I-Project Identification'!$F$25,"  -  ",'Part I-Project Identification'!$F$26,"  -  ",'Part I-Project Identification'!$J$26,",  ","County")</f>
        <v>PART THREE (B) -  OTHER COSTS  -  2023-0 - Dogwood Trail Apartments II  -  Albany  -  Dougherty,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6966</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ht="13.15">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ht="13.1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1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ht="13.1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1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ht="13.15">
      <c r="A366" s="2746" t="s">
        <v>6967</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ht="13.15">
      <c r="A377" s="2746" t="s">
        <v>6968</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ht="13.1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15">
      <c r="A389" s="2746" t="s">
        <v>6969</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ht="13.15">
      <c r="A399" s="1747" t="str">
        <f>CONCATENATE("PART FOUR - UTILITY ALLOWANCES","  -  ",'Part I-Project Identification'!$O$7," ",'Part I-Project Identification'!$F$25,", ",'Part I-Project Identification'!F428,", ",'Part I-Project Identification'!J428," County")</f>
        <v>PART FOUR - UTILITY ALLOWANCES  -  2023-0 Dogwood Trail Apartments II, ,  County</v>
      </c>
      <c r="B399" s="1747"/>
      <c r="C399" s="1747"/>
      <c r="D399" s="1747"/>
      <c r="E399" s="1747"/>
      <c r="F399" s="1747"/>
      <c r="G399" s="1747"/>
      <c r="H399" s="1747"/>
      <c r="I399" s="1747"/>
      <c r="J399" s="1747"/>
      <c r="K399" s="1747"/>
      <c r="L399" s="1747"/>
      <c r="M399" s="1747"/>
    </row>
    <row r="401" spans="1:13" ht="13.15">
      <c r="B401" s="2752" t="str">
        <f>'Part I-Project Identification'!$A$6</f>
        <v>April 2023</v>
      </c>
      <c r="C401" s="2752"/>
      <c r="D401" s="2752"/>
      <c r="E401" s="2752"/>
      <c r="F401" s="1747" t="s">
        <v>6737</v>
      </c>
      <c r="I401" s="2753" t="str">
        <f>'Part IV-Utility Allowances'!I3</f>
        <v>South</v>
      </c>
    </row>
    <row r="403" spans="1:13">
      <c r="A403" s="2754" t="s">
        <v>6970</v>
      </c>
    </row>
    <row r="405" spans="1:13" ht="13.15">
      <c r="A405" s="361" t="s">
        <v>573</v>
      </c>
      <c r="B405" s="361" t="s">
        <v>2059</v>
      </c>
      <c r="F405" s="359" t="s">
        <v>2317</v>
      </c>
      <c r="G405" s="359"/>
      <c r="H405" s="359"/>
      <c r="I405" s="2621" t="str">
        <f>'Part IV-Utility Allowances'!I7</f>
        <v>Georiga DCA</v>
      </c>
      <c r="J405" s="2621"/>
      <c r="K405" s="2621"/>
      <c r="L405" s="2621"/>
      <c r="M405" s="2621"/>
    </row>
    <row r="406" spans="1:13" ht="13.15">
      <c r="A406" s="361"/>
      <c r="F406" s="359" t="s">
        <v>593</v>
      </c>
      <c r="G406" s="359"/>
      <c r="H406" s="359"/>
      <c r="I406" s="2755">
        <f>'Part IV-Utility Allowances'!I8</f>
        <v>44927</v>
      </c>
      <c r="J406" s="2755"/>
      <c r="K406" s="1894" t="s">
        <v>505</v>
      </c>
      <c r="L406" s="359" t="str">
        <f>'Part IV-Utility Allowances'!L8</f>
        <v>Low-Rise Apt</v>
      </c>
      <c r="M406" s="359"/>
    </row>
    <row r="407" spans="1:13" ht="13.15">
      <c r="A407" s="361"/>
    </row>
    <row r="408" spans="1:13" ht="13.15">
      <c r="A408" s="361"/>
      <c r="B408" s="361"/>
      <c r="C408" s="361"/>
      <c r="D408" s="361"/>
      <c r="E408" s="361"/>
      <c r="F408" s="361" t="s">
        <v>567</v>
      </c>
      <c r="G408" s="361"/>
      <c r="H408" s="361"/>
      <c r="I408" s="361" t="s">
        <v>193</v>
      </c>
      <c r="J408" s="361"/>
      <c r="K408" s="361"/>
      <c r="L408" s="361"/>
      <c r="M408" s="361"/>
    </row>
    <row r="409" spans="1:13" ht="13.15">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15">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0</v>
      </c>
      <c r="M410" s="1894">
        <f>'Part IV-Utility Allowances'!M12</f>
        <v>0</v>
      </c>
    </row>
    <row r="411" spans="1:13" ht="13.15">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0</v>
      </c>
      <c r="M411" s="1894">
        <f>'Part IV-Utility Allowances'!M13</f>
        <v>0</v>
      </c>
    </row>
    <row r="412" spans="1:13" ht="13.15">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0</v>
      </c>
      <c r="M412" s="1894">
        <f>'Part IV-Utility Allowances'!M14</f>
        <v>0</v>
      </c>
    </row>
    <row r="413" spans="1:13" ht="13.15">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0</v>
      </c>
      <c r="M413" s="1894">
        <f>'Part IV-Utility Allowances'!M15</f>
        <v>0</v>
      </c>
    </row>
    <row r="414" spans="1:13" ht="13.15">
      <c r="B414" s="359" t="s">
        <v>3269</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15">
      <c r="B415" s="359" t="s">
        <v>3270</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15">
      <c r="B416" s="359" t="s">
        <v>3271</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0</v>
      </c>
      <c r="M416" s="1894">
        <f>'Part IV-Utility Allowances'!M18</f>
        <v>0</v>
      </c>
    </row>
    <row r="417" spans="1:13" ht="13.15">
      <c r="B417" s="359" t="s">
        <v>1292</v>
      </c>
      <c r="C417" s="359"/>
      <c r="D417" s="359" t="s">
        <v>6746</v>
      </c>
      <c r="E417" s="1894" t="str">
        <f>'Part IV-Utility Allowances'!E19</f>
        <v>No</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0</v>
      </c>
      <c r="M417" s="1894">
        <f>'Part IV-Utility Allowances'!M19</f>
        <v>0</v>
      </c>
    </row>
    <row r="418" spans="1:13" ht="13.15">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15">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15">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13.15">
      <c r="A422" s="361" t="s">
        <v>689</v>
      </c>
      <c r="B422" s="361" t="s">
        <v>2060</v>
      </c>
      <c r="F422" s="359" t="s">
        <v>2317</v>
      </c>
      <c r="G422" s="359"/>
      <c r="H422" s="359"/>
      <c r="I422" s="2621">
        <f>'Part IV-Utility Allowances'!I24</f>
        <v>0</v>
      </c>
      <c r="J422" s="2621"/>
      <c r="K422" s="2621"/>
      <c r="L422" s="2621"/>
      <c r="M422" s="2621"/>
    </row>
    <row r="423" spans="1:13" ht="13.15">
      <c r="A423" s="361"/>
      <c r="B423" s="361"/>
      <c r="F423" s="359" t="s">
        <v>593</v>
      </c>
      <c r="G423" s="359"/>
      <c r="H423" s="359"/>
      <c r="I423" s="2755">
        <f>'Part IV-Utility Allowances'!I25</f>
        <v>0</v>
      </c>
      <c r="J423" s="2755"/>
      <c r="K423" s="1894" t="s">
        <v>505</v>
      </c>
      <c r="L423" s="359">
        <f>'Part IV-Utility Allowances'!L25</f>
        <v>0</v>
      </c>
      <c r="M423" s="359"/>
    </row>
    <row r="424" spans="1:13" ht="13.15">
      <c r="A424" s="361"/>
    </row>
    <row r="425" spans="1:13" ht="13.15">
      <c r="A425" s="361"/>
      <c r="B425" s="361"/>
      <c r="C425" s="361"/>
      <c r="D425" s="361"/>
      <c r="E425" s="361"/>
      <c r="F425" s="361" t="s">
        <v>567</v>
      </c>
      <c r="G425" s="361"/>
      <c r="H425" s="361"/>
      <c r="I425" s="361" t="s">
        <v>193</v>
      </c>
      <c r="J425" s="361"/>
      <c r="K425" s="361"/>
      <c r="L425" s="361"/>
      <c r="M425" s="361"/>
    </row>
    <row r="426" spans="1:13" ht="13.15">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15">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15">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15">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15">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15">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15">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15">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15">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15">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15">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15">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ht="13.15">
      <c r="B439" s="807" t="s">
        <v>6747</v>
      </c>
      <c r="F439" s="1748"/>
      <c r="G439" s="1748"/>
      <c r="I439" s="1885"/>
      <c r="J439" s="1885"/>
      <c r="K439" s="1885"/>
      <c r="L439" s="1885"/>
      <c r="M439" s="1885"/>
    </row>
    <row r="440" spans="1:13" ht="13.15">
      <c r="A440" s="361"/>
      <c r="B440" s="361" t="s">
        <v>530</v>
      </c>
    </row>
    <row r="441" spans="1:13" ht="81.400000000000006">
      <c r="B441" s="2757" t="str">
        <f>'Part IV-Utility Allowances'!B43</f>
        <v>Unit Water &amp; Sewer will be individually metered by the City of Albany.</v>
      </c>
      <c r="C441" s="2757"/>
      <c r="D441" s="2757"/>
      <c r="E441" s="2757"/>
      <c r="F441" s="2757"/>
      <c r="G441" s="2757"/>
      <c r="H441" s="2757"/>
      <c r="I441" s="2757"/>
      <c r="J441" s="2757"/>
      <c r="K441" s="2757"/>
      <c r="L441" s="2757"/>
      <c r="M441" s="2757"/>
    </row>
    <row r="443" spans="1:13" ht="13.15">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Dogwood Trail Apartments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Dogwood Trail Apartments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Albany</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6971</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6972</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6973</v>
      </c>
      <c r="P453" s="2768">
        <f>'Part V-Revenues &amp; Expenses'!P6</f>
        <v>57500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2022 HUD Section 8 Income Limits</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6974</v>
      </c>
      <c r="L456" s="1634" t="s">
        <v>139</v>
      </c>
      <c r="M456" s="1634"/>
      <c r="N456" s="2765" t="s">
        <v>2184</v>
      </c>
      <c r="O456" s="2765" t="s">
        <v>6482</v>
      </c>
      <c r="P456" s="2761" t="s">
        <v>6975</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6</v>
      </c>
      <c r="F465" s="2578">
        <f>'Part V-Revenues &amp; Expenses'!F18</f>
        <v>826</v>
      </c>
      <c r="G465" s="2578">
        <f>'Part V-Revenues &amp; Expenses'!G18</f>
        <v>585</v>
      </c>
      <c r="H465" s="2578">
        <f>'Part V-Revenues &amp; Expenses'!H18</f>
        <v>549</v>
      </c>
      <c r="I465" s="2578">
        <f>'Part V-Revenues &amp; Expenses'!I18</f>
        <v>0</v>
      </c>
      <c r="J465" s="2578">
        <f>'Part V-Revenues &amp; Expenses'!J18</f>
        <v>99</v>
      </c>
      <c r="K465" s="2579">
        <f>'Part V-Revenues &amp; Expenses'!K18</f>
        <v>0</v>
      </c>
      <c r="L465" s="2580">
        <f t="shared" si="1"/>
        <v>450</v>
      </c>
      <c r="M465" s="2580">
        <f t="shared" si="2"/>
        <v>2700</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6</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4956</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6</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6</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6</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6</v>
      </c>
      <c r="F466" s="2578">
        <f>'Part V-Revenues &amp; Expenses'!F19</f>
        <v>1060</v>
      </c>
      <c r="G466" s="2578">
        <f>'Part V-Revenues &amp; Expenses'!G19</f>
        <v>701</v>
      </c>
      <c r="H466" s="2578">
        <f>'Part V-Revenues &amp; Expenses'!H19</f>
        <v>687</v>
      </c>
      <c r="I466" s="2578">
        <f>'Part V-Revenues &amp; Expenses'!I19</f>
        <v>0</v>
      </c>
      <c r="J466" s="2578">
        <f>'Part V-Revenues &amp; Expenses'!J19</f>
        <v>127</v>
      </c>
      <c r="K466" s="2579">
        <f>'Part V-Revenues &amp; Expenses'!K19</f>
        <v>0</v>
      </c>
      <c r="L466" s="2580">
        <f t="shared" si="1"/>
        <v>560</v>
      </c>
      <c r="M466" s="2580">
        <f t="shared" si="2"/>
        <v>3360</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6</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6360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6</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6</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f t="shared" si="265"/>
        <v>6</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6</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60</v>
      </c>
      <c r="C467" s="2576">
        <f>'Part V-Revenues &amp; Expenses'!C20</f>
        <v>1</v>
      </c>
      <c r="D467" s="2577">
        <f>'Part V-Revenues &amp; Expenses'!D20</f>
        <v>1</v>
      </c>
      <c r="E467" s="2578">
        <f>'Part V-Revenues &amp; Expenses'!E20</f>
        <v>12</v>
      </c>
      <c r="F467" s="2578">
        <f>'Part V-Revenues &amp; Expenses'!F20</f>
        <v>826</v>
      </c>
      <c r="G467" s="2578">
        <f>'Part V-Revenues &amp; Expenses'!G20</f>
        <v>702</v>
      </c>
      <c r="H467" s="2578">
        <f>'Part V-Revenues &amp; Expenses'!H20</f>
        <v>649</v>
      </c>
      <c r="I467" s="2578">
        <f>'Part V-Revenues &amp; Expenses'!I20</f>
        <v>0</v>
      </c>
      <c r="J467" s="2578">
        <f>'Part V-Revenues &amp; Expenses'!J20</f>
        <v>99</v>
      </c>
      <c r="K467" s="2579">
        <f>'Part V-Revenues &amp; Expenses'!K20</f>
        <v>0</v>
      </c>
      <c r="L467" s="2580">
        <f t="shared" si="1"/>
        <v>550</v>
      </c>
      <c r="M467" s="2580">
        <f t="shared" si="2"/>
        <v>6600</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12</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9912</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f t="shared" si="264"/>
        <v>12</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2</v>
      </c>
      <c r="D468" s="2577">
        <f>'Part V-Revenues &amp; Expenses'!D21</f>
        <v>2</v>
      </c>
      <c r="E468" s="2578">
        <f>'Part V-Revenues &amp; Expenses'!E21</f>
        <v>12</v>
      </c>
      <c r="F468" s="2578">
        <f>'Part V-Revenues &amp; Expenses'!F21</f>
        <v>1060</v>
      </c>
      <c r="G468" s="2578">
        <f>'Part V-Revenues &amp; Expenses'!G21</f>
        <v>841</v>
      </c>
      <c r="H468" s="2578">
        <f>'Part V-Revenues &amp; Expenses'!H21</f>
        <v>777</v>
      </c>
      <c r="I468" s="2578">
        <f>'Part V-Revenues &amp; Expenses'!I21</f>
        <v>0</v>
      </c>
      <c r="J468" s="2578">
        <f>'Part V-Revenues &amp; Expenses'!J21</f>
        <v>127</v>
      </c>
      <c r="K468" s="2579">
        <f>'Part V-Revenues &amp; Expenses'!K21</f>
        <v>0</v>
      </c>
      <c r="L468" s="2580">
        <f t="shared" si="1"/>
        <v>650</v>
      </c>
      <c r="M468" s="2580">
        <f t="shared" si="2"/>
        <v>7800</v>
      </c>
      <c r="N468" s="2651" t="str">
        <f>'Part V-Revenues &amp; Expenses'!N21</f>
        <v>No</v>
      </c>
      <c r="O468" s="1320" t="str">
        <f>'Part V-Revenues &amp; Expenses'!O21</f>
        <v>Low-Rise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12</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12720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12</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12</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12</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70</v>
      </c>
      <c r="C469" s="2576">
        <f>'Part V-Revenues &amp; Expenses'!C22</f>
        <v>1</v>
      </c>
      <c r="D469" s="2577">
        <f>'Part V-Revenues &amp; Expenses'!D22</f>
        <v>1</v>
      </c>
      <c r="E469" s="2578">
        <f>'Part V-Revenues &amp; Expenses'!E22</f>
        <v>2</v>
      </c>
      <c r="F469" s="2578">
        <f>'Part V-Revenues &amp; Expenses'!F22</f>
        <v>826</v>
      </c>
      <c r="G469" s="2578">
        <f>'Part V-Revenues &amp; Expenses'!G22</f>
        <v>819</v>
      </c>
      <c r="H469" s="2578">
        <f>'Part V-Revenues &amp; Expenses'!H22</f>
        <v>799</v>
      </c>
      <c r="I469" s="2578">
        <f>'Part V-Revenues &amp; Expenses'!I22</f>
        <v>0</v>
      </c>
      <c r="J469" s="2578">
        <f>'Part V-Revenues &amp; Expenses'!J22</f>
        <v>99</v>
      </c>
      <c r="K469" s="2579">
        <f>'Part V-Revenues &amp; Expenses'!K22</f>
        <v>0</v>
      </c>
      <c r="L469" s="2580">
        <f t="shared" si="1"/>
        <v>700</v>
      </c>
      <c r="M469" s="2580">
        <f t="shared" si="2"/>
        <v>1400</v>
      </c>
      <c r="N469" s="2651" t="str">
        <f>'Part V-Revenues &amp; Expenses'!N22</f>
        <v>No</v>
      </c>
      <c r="O469" s="1320" t="str">
        <f>'Part V-Revenues &amp; Expenses'!O22</f>
        <v>Low-Rise Elevator</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f t="shared" si="9"/>
        <v>2</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f t="shared" si="69"/>
        <v>2</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f t="shared" si="124"/>
        <v>1652</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2</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2</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f t="shared" si="264"/>
        <v>2</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2</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70</v>
      </c>
      <c r="C470" s="2576">
        <f>'Part V-Revenues &amp; Expenses'!C23</f>
        <v>2</v>
      </c>
      <c r="D470" s="2577">
        <f>'Part V-Revenues &amp; Expenses'!D23</f>
        <v>2</v>
      </c>
      <c r="E470" s="2578">
        <f>'Part V-Revenues &amp; Expenses'!E23</f>
        <v>2</v>
      </c>
      <c r="F470" s="2578">
        <f>'Part V-Revenues &amp; Expenses'!F23</f>
        <v>1060</v>
      </c>
      <c r="G470" s="2578">
        <f>'Part V-Revenues &amp; Expenses'!G23</f>
        <v>981</v>
      </c>
      <c r="H470" s="2578">
        <f>'Part V-Revenues &amp; Expenses'!H23</f>
        <v>902</v>
      </c>
      <c r="I470" s="2578">
        <f>'Part V-Revenues &amp; Expenses'!I23</f>
        <v>0</v>
      </c>
      <c r="J470" s="2578">
        <f>'Part V-Revenues &amp; Expenses'!J23</f>
        <v>127</v>
      </c>
      <c r="K470" s="2579">
        <f>'Part V-Revenues &amp; Expenses'!K23</f>
        <v>0</v>
      </c>
      <c r="L470" s="2580">
        <f t="shared" si="1"/>
        <v>775</v>
      </c>
      <c r="M470" s="2580">
        <f t="shared" si="2"/>
        <v>1550</v>
      </c>
      <c r="N470" s="2651" t="str">
        <f>'Part V-Revenues &amp; Expenses'!N23</f>
        <v>No</v>
      </c>
      <c r="O470" s="1320" t="str">
        <f>'Part V-Revenues &amp; Expenses'!O23</f>
        <v>Low-Rise Elevator</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f t="shared" si="10"/>
        <v>2</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f t="shared" si="70"/>
        <v>2</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f t="shared" si="125"/>
        <v>2120</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2</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2</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f t="shared" si="265"/>
        <v>2</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2</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40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37720</v>
      </c>
      <c r="H496" s="2583" t="s">
        <v>3765</v>
      </c>
      <c r="I496" s="2787" t="s">
        <v>3766</v>
      </c>
      <c r="J496" s="2584" t="str">
        <f>IF(P514=0,"",IF(SUM(P505:P509)/P514&gt;=0.4,"Pass","Fail"))</f>
        <v>Pass</v>
      </c>
      <c r="K496" s="363"/>
      <c r="L496" s="2788" t="s">
        <v>1225</v>
      </c>
      <c r="M496" s="2585">
        <f>SUM(M458:M495)</f>
        <v>23410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2</v>
      </c>
      <c r="AE496" s="1749">
        <f t="shared" si="338"/>
        <v>2</v>
      </c>
      <c r="AF496" s="1749">
        <f t="shared" si="338"/>
        <v>0</v>
      </c>
      <c r="AG496" s="1749">
        <f t="shared" si="338"/>
        <v>0</v>
      </c>
      <c r="AH496" s="1749">
        <f t="shared" si="338"/>
        <v>0</v>
      </c>
      <c r="AI496" s="1749">
        <f t="shared" si="338"/>
        <v>12</v>
      </c>
      <c r="AJ496" s="1749">
        <f t="shared" si="338"/>
        <v>12</v>
      </c>
      <c r="AK496" s="1749">
        <f t="shared" si="338"/>
        <v>0</v>
      </c>
      <c r="AL496" s="1749">
        <f t="shared" si="338"/>
        <v>0</v>
      </c>
      <c r="AM496" s="1749">
        <f>SUM(AM458:AM495)</f>
        <v>0</v>
      </c>
      <c r="AN496" s="1749">
        <f>SUM(AN458:AN495)</f>
        <v>6</v>
      </c>
      <c r="AO496" s="1749">
        <f>SUM(AO458:AO495)</f>
        <v>6</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2</v>
      </c>
      <c r="CM496" s="1749">
        <f>SUM(CM458:CM495)</f>
        <v>2</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1652</v>
      </c>
      <c r="EP496" s="1749">
        <f t="shared" si="338"/>
        <v>2120</v>
      </c>
      <c r="EQ496" s="1749">
        <f t="shared" si="338"/>
        <v>0</v>
      </c>
      <c r="ER496" s="1749">
        <f t="shared" si="338"/>
        <v>0</v>
      </c>
      <c r="ES496" s="1749">
        <f t="shared" si="338"/>
        <v>0</v>
      </c>
      <c r="ET496" s="1749">
        <f t="shared" si="338"/>
        <v>9912</v>
      </c>
      <c r="EU496" s="1749">
        <f t="shared" si="338"/>
        <v>12720</v>
      </c>
      <c r="EV496" s="1749">
        <f t="shared" si="338"/>
        <v>0</v>
      </c>
      <c r="EW496" s="1749">
        <f t="shared" si="338"/>
        <v>0</v>
      </c>
      <c r="EX496" s="1749">
        <f t="shared" si="338"/>
        <v>0</v>
      </c>
      <c r="EY496" s="1749">
        <f t="shared" si="338"/>
        <v>4956</v>
      </c>
      <c r="EZ496" s="1749">
        <f t="shared" si="338"/>
        <v>6360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20</v>
      </c>
      <c r="GI496" s="1749">
        <f t="shared" si="340"/>
        <v>20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20</v>
      </c>
      <c r="IB496" s="1749">
        <f t="shared" si="341"/>
        <v>20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20</v>
      </c>
      <c r="JZ496" s="1749">
        <f>SUM(JZ458:JZ495)</f>
        <v>20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20</v>
      </c>
      <c r="MM496" s="1749">
        <f t="shared" si="343"/>
        <v>20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58</v>
      </c>
      <c r="C497" s="2789"/>
      <c r="D497" s="2756" t="s">
        <v>3675</v>
      </c>
      <c r="E497" s="2581">
        <f>SUM(E465:E495)</f>
        <v>40</v>
      </c>
      <c r="F497" s="2582">
        <f>(E465*F465+E466*F466+E467*F467+E468*F468+E469*F469+E470*F470+E471*F471+E472*F472+E473*F473+E474*F474+E475*F475+E476*F476+E477*F477+E478*F478+E479*F479+E480*F480+E481*F481+E482*F482+E483*F483+E484*F484+E485*F485+E486*F486+E487*F487+E488*F488+E489*F489+E490*F490+E491*F491+E492*F492+E493*F493+E494*F494+E495*F495)</f>
        <v>37720</v>
      </c>
      <c r="H497" s="2583"/>
      <c r="I497" s="2787" t="s">
        <v>3767</v>
      </c>
      <c r="J497" s="2584" t="str">
        <f>IF(P514=0,"",IF(SUM(P506:P509)/P514&gt;=0.2,"Pass","Fail"))</f>
        <v>Pass</v>
      </c>
      <c r="K497" s="363"/>
      <c r="L497" s="2786" t="s">
        <v>757</v>
      </c>
      <c r="M497" s="2585">
        <f>M496*12</f>
        <v>280920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6976</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2</v>
      </c>
      <c r="M504" s="2586">
        <f>AE496</f>
        <v>2</v>
      </c>
      <c r="N504" s="2586">
        <f>AF496</f>
        <v>0</v>
      </c>
      <c r="O504" s="2586">
        <f>AG496</f>
        <v>0</v>
      </c>
      <c r="P504" s="2586">
        <f t="shared" si="344"/>
        <v>4</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12</v>
      </c>
      <c r="M505" s="2586">
        <f>AJ496</f>
        <v>12</v>
      </c>
      <c r="N505" s="2586">
        <f>AK496</f>
        <v>0</v>
      </c>
      <c r="O505" s="2586">
        <f>AL496</f>
        <v>0</v>
      </c>
      <c r="P505" s="2586">
        <f t="shared" si="344"/>
        <v>24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6</v>
      </c>
      <c r="M506" s="2586">
        <f>AO496</f>
        <v>6</v>
      </c>
      <c r="N506" s="2586">
        <f>AP496</f>
        <v>0</v>
      </c>
      <c r="O506" s="2586">
        <f>AQ496</f>
        <v>0</v>
      </c>
      <c r="P506" s="2586">
        <f t="shared" si="344"/>
        <v>12</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20</v>
      </c>
      <c r="M510" s="2586">
        <f>SUM(M503:M509)</f>
        <v>20</v>
      </c>
      <c r="N510" s="2586">
        <f>SUM(N503:N509)</f>
        <v>0</v>
      </c>
      <c r="O510" s="2586">
        <f>SUM(O503:O509)</f>
        <v>0</v>
      </c>
      <c r="P510" s="2586">
        <f t="shared" si="344"/>
        <v>40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20</v>
      </c>
      <c r="M512" s="2587">
        <f>SUM(M510:M511)</f>
        <v>20</v>
      </c>
      <c r="N512" s="2587">
        <f>SUM(N510:N511)</f>
        <v>0</v>
      </c>
      <c r="O512" s="2587">
        <f>SUM(O510:O511)</f>
        <v>0</v>
      </c>
      <c r="P512" s="2587">
        <f t="shared" si="344"/>
        <v>40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20</v>
      </c>
      <c r="M514" s="2588">
        <f>SUM(M512:M513)</f>
        <v>20</v>
      </c>
      <c r="N514" s="2588">
        <f>SUM(N512:N513)</f>
        <v>0</v>
      </c>
      <c r="O514" s="2588">
        <f>SUM(O512:O513)</f>
        <v>0</v>
      </c>
      <c r="P514" s="2588">
        <f t="shared" si="344"/>
        <v>40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6977</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6978</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6979</v>
      </c>
      <c r="E520" s="2621"/>
      <c r="F520" s="2621"/>
      <c r="H520" s="1503" t="s">
        <v>3677</v>
      </c>
      <c r="I520" s="362"/>
      <c r="J520" s="359"/>
      <c r="K520" s="2803" t="str">
        <f t="shared" ref="K520:P520" si="347">IF(OR(K504=0,K514=0),"",K504/K514)</f>
        <v/>
      </c>
      <c r="L520" s="2803">
        <f t="shared" si="347"/>
        <v>0.1</v>
      </c>
      <c r="M520" s="2803">
        <f t="shared" si="347"/>
        <v>0.1</v>
      </c>
      <c r="N520" s="2803" t="str">
        <f t="shared" si="347"/>
        <v/>
      </c>
      <c r="O520" s="2803" t="str">
        <f t="shared" si="347"/>
        <v/>
      </c>
      <c r="P520" s="2803">
        <f t="shared" si="347"/>
        <v>0.1</v>
      </c>
      <c r="S520" s="2784"/>
      <c r="T520" s="2784"/>
      <c r="U520" s="2784"/>
      <c r="V520" s="2784"/>
      <c r="W520" s="2784"/>
    </row>
    <row r="521" spans="1:343">
      <c r="C521" s="2621"/>
      <c r="D521" s="2621"/>
      <c r="E521" s="2621"/>
      <c r="F521" s="2621"/>
      <c r="H521" s="1503" t="s">
        <v>6977</v>
      </c>
      <c r="I521" s="362"/>
      <c r="J521" s="359"/>
      <c r="K521" s="2804" t="str">
        <f>IF(OR(K504=0,P520="",K514=0),"",P520*K514)</f>
        <v/>
      </c>
      <c r="L521" s="2804">
        <f>IF(OR(L504=0,P520="",L514=0),"",P520*L514)</f>
        <v>2</v>
      </c>
      <c r="M521" s="2804">
        <f>IF(OR(M504=0,P520="",M514=0),"",P520*M514)</f>
        <v>2</v>
      </c>
      <c r="N521" s="2804" t="str">
        <f>IF(OR(N504=0,P520="",N514=0),"",P520*N514)</f>
        <v/>
      </c>
      <c r="O521" s="2804" t="str">
        <f>IF(OR(O504=0,P520="",O514=0),"",P520*O514)</f>
        <v/>
      </c>
      <c r="P521" s="2804">
        <f>IF(OR(P520="",P514=0),"",P520*P514)</f>
        <v>4</v>
      </c>
      <c r="S521" s="2784"/>
      <c r="T521" s="2784"/>
      <c r="U521" s="2784"/>
      <c r="V521" s="2784"/>
      <c r="W521" s="2784"/>
    </row>
    <row r="522" spans="1:343">
      <c r="C522" s="2621"/>
      <c r="D522" s="2621"/>
      <c r="E522" s="2621"/>
      <c r="F522" s="2621"/>
      <c r="G522" s="2787"/>
      <c r="H522" s="1503" t="s">
        <v>6978</v>
      </c>
      <c r="I522" s="362"/>
      <c r="J522" s="359"/>
      <c r="K522" s="2804" t="str">
        <f t="shared" ref="K522:P522" si="348">IF(OR(K521="",K504=0),"", K504-K521)</f>
        <v/>
      </c>
      <c r="L522" s="2804">
        <f t="shared" si="348"/>
        <v>0</v>
      </c>
      <c r="M522" s="2804">
        <f t="shared" si="348"/>
        <v>0</v>
      </c>
      <c r="N522" s="2804" t="str">
        <f t="shared" si="348"/>
        <v/>
      </c>
      <c r="O522" s="2804" t="str">
        <f t="shared" si="348"/>
        <v/>
      </c>
      <c r="P522" s="2804">
        <f t="shared" si="348"/>
        <v>0</v>
      </c>
      <c r="S522" s="2784"/>
      <c r="T522" s="2784"/>
      <c r="U522" s="2784"/>
      <c r="V522" s="2784"/>
      <c r="W522" s="2784"/>
    </row>
    <row r="523" spans="1:343" ht="13.15">
      <c r="C523" s="2805" t="s">
        <v>4067</v>
      </c>
      <c r="D523" s="2621"/>
      <c r="E523" s="2621"/>
      <c r="F523" s="2621"/>
      <c r="H523" s="1503" t="s">
        <v>1081</v>
      </c>
      <c r="I523" s="362"/>
      <c r="J523" s="359"/>
      <c r="K523" s="2803" t="str">
        <f t="shared" ref="K523:P523" si="349">IF(OR(K505=0,K514=0),"",K505/K514)</f>
        <v/>
      </c>
      <c r="L523" s="2803">
        <f t="shared" si="349"/>
        <v>0.6</v>
      </c>
      <c r="M523" s="2803">
        <f t="shared" si="349"/>
        <v>0.6</v>
      </c>
      <c r="N523" s="2803" t="str">
        <f t="shared" si="349"/>
        <v/>
      </c>
      <c r="O523" s="2803" t="str">
        <f t="shared" si="349"/>
        <v/>
      </c>
      <c r="P523" s="2803">
        <f t="shared" si="349"/>
        <v>0.6</v>
      </c>
      <c r="S523" s="2784"/>
      <c r="T523" s="2784"/>
      <c r="U523" s="2784"/>
      <c r="V523" s="2784"/>
      <c r="W523" s="2784"/>
    </row>
    <row r="524" spans="1:343" ht="15.75" customHeight="1">
      <c r="C524" s="2805"/>
      <c r="D524" s="2621"/>
      <c r="E524" s="2621"/>
      <c r="F524" s="2621"/>
      <c r="H524" s="1503" t="s">
        <v>6977</v>
      </c>
      <c r="I524" s="362"/>
      <c r="J524" s="359"/>
      <c r="K524" s="2804" t="str">
        <f>IF(OR(K505=0,P523="",K514=0),"",P523*K514)</f>
        <v/>
      </c>
      <c r="L524" s="2804">
        <f>IF(OR(L505=0,P523="",L514=0),"",P523*L514)</f>
        <v>12</v>
      </c>
      <c r="M524" s="2804">
        <f>IF(OR(M505=0,P523="",M514=0),"",P523*M514)</f>
        <v>12</v>
      </c>
      <c r="N524" s="2804" t="str">
        <f>IF(OR(N505=0,P523="",N514=0),"",P523*N514)</f>
        <v/>
      </c>
      <c r="O524" s="2804" t="str">
        <f>IF(OR(O505=0,P523="",O514=0),"",P523*O514)</f>
        <v/>
      </c>
      <c r="P524" s="2804">
        <f>IF(OR(P523="",P514=0),"",P523*P514)</f>
        <v>24</v>
      </c>
      <c r="S524" s="2784"/>
      <c r="T524" s="2784"/>
      <c r="U524" s="2784"/>
      <c r="V524" s="2784"/>
      <c r="W524" s="2784"/>
    </row>
    <row r="525" spans="1:343" ht="15.75" customHeight="1">
      <c r="C525" s="2805"/>
      <c r="D525" s="2621"/>
      <c r="E525" s="2621"/>
      <c r="F525" s="2621"/>
      <c r="G525" s="2787"/>
      <c r="H525" s="1503" t="s">
        <v>6978</v>
      </c>
      <c r="I525" s="362"/>
      <c r="J525" s="359"/>
      <c r="K525" s="2804" t="str">
        <f t="shared" ref="K525:P525" si="350">IF(OR(K524="",K505=0),"", K505-K524)</f>
        <v/>
      </c>
      <c r="L525" s="2804">
        <f t="shared" si="350"/>
        <v>0</v>
      </c>
      <c r="M525" s="2804">
        <f t="shared" si="350"/>
        <v>0</v>
      </c>
      <c r="N525" s="2804" t="str">
        <f t="shared" si="350"/>
        <v/>
      </c>
      <c r="O525" s="2804" t="str">
        <f t="shared" si="350"/>
        <v/>
      </c>
      <c r="P525" s="2804">
        <f t="shared" si="350"/>
        <v>0</v>
      </c>
    </row>
    <row r="526" spans="1:343" ht="13.15">
      <c r="C526" s="2805" t="s">
        <v>4067</v>
      </c>
      <c r="D526" s="2805"/>
      <c r="E526" s="2805"/>
      <c r="H526" s="1503" t="s">
        <v>112</v>
      </c>
      <c r="I526" s="362"/>
      <c r="J526" s="359"/>
      <c r="K526" s="2803" t="str">
        <f t="shared" ref="K526:P526" si="351">IF(OR(K506=0,K514=0),"",K506/K514)</f>
        <v/>
      </c>
      <c r="L526" s="2803">
        <f t="shared" si="351"/>
        <v>0.3</v>
      </c>
      <c r="M526" s="2803">
        <f t="shared" si="351"/>
        <v>0.3</v>
      </c>
      <c r="N526" s="2803" t="str">
        <f t="shared" si="351"/>
        <v/>
      </c>
      <c r="O526" s="2803" t="str">
        <f t="shared" si="351"/>
        <v/>
      </c>
      <c r="P526" s="2803">
        <f t="shared" si="351"/>
        <v>0.3</v>
      </c>
    </row>
    <row r="527" spans="1:343" ht="13.15">
      <c r="C527" s="2805"/>
      <c r="D527" s="2805"/>
      <c r="E527" s="2805"/>
      <c r="H527" s="1503" t="s">
        <v>6977</v>
      </c>
      <c r="I527" s="362"/>
      <c r="J527" s="359"/>
      <c r="K527" s="2804" t="str">
        <f>IF(OR(K506=0,P526="",K514=0),"",P526*K514)</f>
        <v/>
      </c>
      <c r="L527" s="2804">
        <f>IF(OR(L506=0,P526="",L514=0),"",P526*L514)</f>
        <v>6</v>
      </c>
      <c r="M527" s="2804">
        <f>IF(OR(M506=0,P526="",M514=0),"",P526*M514)</f>
        <v>6</v>
      </c>
      <c r="N527" s="2804" t="str">
        <f>IF(OR(N506=0,P526="",N514=0),"",P526*N514)</f>
        <v/>
      </c>
      <c r="O527" s="2804" t="str">
        <f>IF(OR(O506=0,P526="",O514=0),"",P526*O514)</f>
        <v/>
      </c>
      <c r="P527" s="2804">
        <f>IF(OR(P526="",P514=0),"",P526*P514)</f>
        <v>12</v>
      </c>
    </row>
    <row r="528" spans="1:343" ht="13.15">
      <c r="C528" s="2805"/>
      <c r="D528" s="2805"/>
      <c r="E528" s="2805"/>
      <c r="G528" s="2787"/>
      <c r="H528" s="1503" t="s">
        <v>6978</v>
      </c>
      <c r="I528" s="362"/>
      <c r="J528" s="359"/>
      <c r="K528" s="2804" t="str">
        <f t="shared" ref="K528:P528" si="352">IF(OR(K527="",K506=0),"", K506-K527)</f>
        <v/>
      </c>
      <c r="L528" s="2804">
        <f t="shared" si="352"/>
        <v>0</v>
      </c>
      <c r="M528" s="2804">
        <f t="shared" si="352"/>
        <v>0</v>
      </c>
      <c r="N528" s="2804" t="str">
        <f t="shared" si="352"/>
        <v/>
      </c>
      <c r="O528" s="2804" t="str">
        <f t="shared" si="352"/>
        <v/>
      </c>
      <c r="P528" s="2804">
        <f t="shared" si="352"/>
        <v>0</v>
      </c>
    </row>
    <row r="529" spans="1:343" ht="13.15">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ht="13.15">
      <c r="C530" s="2805"/>
      <c r="H530" s="1503" t="s">
        <v>6977</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ht="13.15">
      <c r="C531" s="2805"/>
      <c r="G531" s="2787"/>
      <c r="H531" s="1503" t="s">
        <v>6978</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ht="13.15">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ht="13.15">
      <c r="C533" s="2805"/>
      <c r="H533" s="1503" t="s">
        <v>6977</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ht="13.15">
      <c r="C534" s="2805"/>
      <c r="G534" s="2787"/>
      <c r="H534" s="1503" t="s">
        <v>6978</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ht="13.15">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ht="13.15">
      <c r="C536" s="2805"/>
      <c r="D536" s="2805"/>
      <c r="E536" s="2805"/>
      <c r="H536" s="1503" t="s">
        <v>6977</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ht="13.15">
      <c r="C537" s="2805"/>
      <c r="D537" s="2805"/>
      <c r="E537" s="2805"/>
      <c r="G537" s="2787"/>
      <c r="H537" s="1503" t="s">
        <v>6978</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2</v>
      </c>
      <c r="M541" s="2586">
        <f>CM496</f>
        <v>2</v>
      </c>
      <c r="N541" s="2586">
        <f>CN496</f>
        <v>0</v>
      </c>
      <c r="O541" s="2586">
        <f>CO496</f>
        <v>0</v>
      </c>
      <c r="P541" s="2586">
        <f t="shared" si="359"/>
        <v>4</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2</v>
      </c>
      <c r="M547" s="2588">
        <f>SUM(M540:M546)</f>
        <v>2</v>
      </c>
      <c r="N547" s="2588">
        <f>SUM(N540:N546)</f>
        <v>0</v>
      </c>
      <c r="O547" s="2588">
        <f>SUM(O540:O546)</f>
        <v>0</v>
      </c>
      <c r="P547" s="2588">
        <f t="shared" si="359"/>
        <v>4</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20</v>
      </c>
      <c r="M560" s="2586">
        <f>GI496</f>
        <v>20</v>
      </c>
      <c r="N560" s="2586">
        <f>GJ496</f>
        <v>0</v>
      </c>
      <c r="O560" s="2586">
        <f>GK496</f>
        <v>0</v>
      </c>
      <c r="P560" s="2586">
        <f t="shared" ref="P560:P570" si="361">SUM(K560:O560)</f>
        <v>40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20</v>
      </c>
      <c r="M562" s="2588">
        <f>SUM(M560:M561)+GS496</f>
        <v>20</v>
      </c>
      <c r="N562" s="2588">
        <f>SUM(N560:N561)+GT496</f>
        <v>0</v>
      </c>
      <c r="O562" s="2588">
        <f>SUM(O560:O561)+GU496</f>
        <v>0</v>
      </c>
      <c r="P562" s="2588">
        <f t="shared" si="361"/>
        <v>40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6981</v>
      </c>
      <c r="D574" s="2784"/>
      <c r="E574" s="1503" t="s">
        <v>36</v>
      </c>
      <c r="F574" s="359"/>
      <c r="G574" s="2622"/>
      <c r="H574" s="360"/>
      <c r="K574" s="2588">
        <f t="shared" ref="K574:P574" si="362">SUM(K575:K582)</f>
        <v>0</v>
      </c>
      <c r="L574" s="2588">
        <f t="shared" si="362"/>
        <v>20</v>
      </c>
      <c r="M574" s="2588">
        <f t="shared" si="362"/>
        <v>20</v>
      </c>
      <c r="N574" s="2588">
        <f t="shared" si="362"/>
        <v>0</v>
      </c>
      <c r="O574" s="2588">
        <f t="shared" si="362"/>
        <v>0</v>
      </c>
      <c r="P574" s="2588">
        <f t="shared" si="362"/>
        <v>40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20</v>
      </c>
      <c r="M577" s="2586">
        <f>JZ496</f>
        <v>20</v>
      </c>
      <c r="N577" s="2586">
        <f>KA496</f>
        <v>0</v>
      </c>
      <c r="O577" s="2586">
        <f>KB496</f>
        <v>0</v>
      </c>
      <c r="P577" s="2586">
        <f t="shared" si="363"/>
        <v>40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6982</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20</v>
      </c>
      <c r="M600" s="2586">
        <f t="shared" si="367"/>
        <v>20</v>
      </c>
      <c r="N600" s="2586">
        <f t="shared" si="367"/>
        <v>0</v>
      </c>
      <c r="O600" s="2586">
        <f t="shared" si="367"/>
        <v>0</v>
      </c>
      <c r="P600" s="2588">
        <f t="shared" si="365"/>
        <v>40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6983</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1652</v>
      </c>
      <c r="M605" s="2590">
        <f>EP496</f>
        <v>2120</v>
      </c>
      <c r="N605" s="2590">
        <f>EQ496</f>
        <v>0</v>
      </c>
      <c r="O605" s="2590">
        <f>ER496</f>
        <v>0</v>
      </c>
      <c r="P605" s="2590">
        <f t="shared" si="368"/>
        <v>3772</v>
      </c>
      <c r="Q605" s="2804">
        <f t="shared" si="369"/>
        <v>943</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9912</v>
      </c>
      <c r="M606" s="2590">
        <f>EU496</f>
        <v>12720</v>
      </c>
      <c r="N606" s="2590">
        <f>EV496</f>
        <v>0</v>
      </c>
      <c r="O606" s="2590">
        <f>EW496</f>
        <v>0</v>
      </c>
      <c r="P606" s="2590">
        <f t="shared" si="368"/>
        <v>22632</v>
      </c>
      <c r="Q606" s="2804">
        <f t="shared" si="369"/>
        <v>943</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4956</v>
      </c>
      <c r="M607" s="2590">
        <f>EZ496</f>
        <v>6360</v>
      </c>
      <c r="N607" s="2590">
        <f>FA496</f>
        <v>0</v>
      </c>
      <c r="O607" s="2590">
        <f>FB496</f>
        <v>0</v>
      </c>
      <c r="P607" s="2590">
        <f t="shared" si="368"/>
        <v>11316</v>
      </c>
      <c r="Q607" s="2804">
        <f t="shared" si="369"/>
        <v>943</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16520</v>
      </c>
      <c r="M611" s="2591">
        <f>SUM(M604:M610)</f>
        <v>21200</v>
      </c>
      <c r="N611" s="2591">
        <f>SUM(N604:N610)</f>
        <v>0</v>
      </c>
      <c r="O611" s="2591">
        <f>SUM(O604:O610)</f>
        <v>0</v>
      </c>
      <c r="P611" s="2591">
        <f>SUM(K611:O611)</f>
        <v>37720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16520</v>
      </c>
      <c r="M613" s="2592">
        <f>SUM(M611:M612)</f>
        <v>21200</v>
      </c>
      <c r="N613" s="2592">
        <f>SUM(N611:N612)</f>
        <v>0</v>
      </c>
      <c r="O613" s="2592">
        <f>SUM(O611:O612)</f>
        <v>0</v>
      </c>
      <c r="P613" s="2592">
        <f>SUM(K613:O613)</f>
        <v>37720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16520</v>
      </c>
      <c r="M615" s="2593">
        <f>SUM(M613:M614)</f>
        <v>21200</v>
      </c>
      <c r="N615" s="2593">
        <f>SUM(N613:N614)</f>
        <v>0</v>
      </c>
      <c r="O615" s="2593">
        <f>SUM(O613:O614)</f>
        <v>0</v>
      </c>
      <c r="P615" s="2593">
        <f>SUM(K615:O615)</f>
        <v>37720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818" t="str">
        <f>IF(OR(K514="",K514=0),"",K615/K514)</f>
        <v/>
      </c>
      <c r="L618" s="2818">
        <f>IF(OR(L514="",L514=0),"",L615/L514)</f>
        <v>826</v>
      </c>
      <c r="M618" s="2818">
        <f>IF(OR(M514="",M514=0),"",M615/M514)</f>
        <v>1060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6985</v>
      </c>
      <c r="K621" s="2549">
        <f>'Part V-Revenues &amp; Expenses'!K174</f>
        <v>18366</v>
      </c>
      <c r="L621" s="2549"/>
      <c r="Z621" s="1622">
        <v>68</v>
      </c>
    </row>
    <row r="622" spans="1:380" s="1819" customFormat="1" ht="13.35" customHeight="1">
      <c r="A622" s="2615"/>
      <c r="C622" s="377" t="s">
        <v>242</v>
      </c>
      <c r="K622" s="2549">
        <f>P615+K621</f>
        <v>56086</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5618.4000000000005</v>
      </c>
      <c r="I626" s="2820"/>
      <c r="J626" s="2810" t="s">
        <v>6987</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6988</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6988</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6989</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6988</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6989</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6988</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18654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20000</v>
      </c>
      <c r="G668" s="2590"/>
      <c r="I668" s="359" t="s">
        <v>1300</v>
      </c>
      <c r="L668" s="2590">
        <f>'Part V-Revenues &amp; Expenses'!L221</f>
        <v>0</v>
      </c>
      <c r="M668" s="2590"/>
      <c r="O668" s="2599">
        <f>+Q667/(P514*0.93)</f>
        <v>501.45161290322579</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15000</v>
      </c>
      <c r="G669" s="2590"/>
      <c r="I669" s="359" t="s">
        <v>1301</v>
      </c>
      <c r="L669" s="2590">
        <f>'Part V-Revenues &amp; Expenses'!L222</f>
        <v>720</v>
      </c>
      <c r="M669" s="2590"/>
      <c r="O669" s="2599">
        <f>+Q667/(P514*0.93)/12</f>
        <v>41.787634408602152</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3000</v>
      </c>
      <c r="G670" s="2590"/>
      <c r="K670" s="2828" t="s">
        <v>184</v>
      </c>
      <c r="L670" s="2590">
        <f>SUM(L668:M669)</f>
        <v>720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38000</v>
      </c>
      <c r="G674" s="2590"/>
      <c r="I674" s="359" t="s">
        <v>1497</v>
      </c>
      <c r="L674" s="2590">
        <f>'Part V-Revenues &amp; Expenses'!L227</f>
        <v>600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8000</v>
      </c>
      <c r="M675" s="2590"/>
      <c r="N675" s="2771" t="str">
        <f>IF(Q677="","",IF(Q675&lt;Q677, "WARNING! OE below required minimum.",""))</f>
        <v/>
      </c>
      <c r="O675" s="1747" t="s">
        <v>2029</v>
      </c>
      <c r="Q675" s="2818">
        <f>F674+F683+F694+L670+L678+L688+L694+Q667</f>
        <v>181214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3000</v>
      </c>
      <c r="M676" s="2590"/>
      <c r="N676" s="2771"/>
      <c r="O676" s="2799" t="s">
        <v>2486</v>
      </c>
      <c r="P676" s="2599">
        <f>+Q675/P514</f>
        <v>4530.3500000000004</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800</v>
      </c>
      <c r="G677" s="2590"/>
      <c r="I677" s="2832" t="str">
        <f>'Part V-Revenues &amp; Expenses'!I230</f>
        <v>Compliance Fees</v>
      </c>
      <c r="J677" s="2832"/>
      <c r="K677" s="2832"/>
      <c r="L677" s="2590">
        <f>'Part V-Revenues &amp; Expenses'!L230</f>
        <v>2000</v>
      </c>
      <c r="M677" s="2590"/>
      <c r="N677" s="2771"/>
      <c r="P677" s="2799" t="s">
        <v>3223</v>
      </c>
      <c r="Q677" s="2818">
        <f>'Part V-Revenues &amp; Expenses'!Q230</f>
        <v>180000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13600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3600</v>
      </c>
      <c r="G681" s="2590"/>
      <c r="I681" s="1747" t="s">
        <v>1297</v>
      </c>
      <c r="K681" s="1622" t="s">
        <v>3883</v>
      </c>
      <c r="O681" s="1747" t="s">
        <v>3085</v>
      </c>
      <c r="P681" s="1747"/>
      <c r="Q681" s="2600">
        <f>'Part V-Revenues &amp; Expenses'!Q234</f>
        <v>10000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10</v>
      </c>
      <c r="L682" s="2590">
        <f>'Part V-Revenues &amp; Expenses'!L235</f>
        <v>4800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7400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6.25</v>
      </c>
      <c r="L684" s="2590">
        <f>'Part V-Revenues &amp; Expenses'!L237</f>
        <v>3000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16.666666666666664</v>
      </c>
      <c r="L685" s="2590">
        <f>'Part V-Revenues &amp; Expenses'!L238</f>
        <v>8000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1330</v>
      </c>
      <c r="G686" s="2590"/>
      <c r="I686" s="359" t="s">
        <v>6990</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3200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40 units x $250 =</v>
      </c>
      <c r="Q687" s="2837">
        <f>'Part V-Revenues &amp; Expenses'!Q240</f>
        <v>10000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12000</v>
      </c>
      <c r="G688" s="2590"/>
      <c r="K688" s="2828" t="s">
        <v>184</v>
      </c>
      <c r="L688" s="2818">
        <f>SUM(L682:L687)</f>
        <v>15800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2160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6200</v>
      </c>
      <c r="G690" s="2590"/>
      <c r="I690" s="1747" t="s">
        <v>1298</v>
      </c>
      <c r="O690" s="2788" t="s">
        <v>2467</v>
      </c>
      <c r="P690" s="2782">
        <f>'Part V-Revenues &amp; Expenses'!P243</f>
        <v>40</v>
      </c>
      <c r="Q690" s="2838">
        <f>SUM(Q686:Q689)</f>
        <v>10000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5000</v>
      </c>
      <c r="G691" s="2590"/>
      <c r="I691" s="359" t="s">
        <v>6991</v>
      </c>
      <c r="L691" s="2590">
        <f>'Part V-Revenues &amp; Expenses'!L244</f>
        <v>27150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30000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29890</v>
      </c>
      <c r="G694" s="2590"/>
      <c r="K694" s="2828" t="s">
        <v>184</v>
      </c>
      <c r="L694" s="2818">
        <f>SUM(L690:L693)</f>
        <v>57150</v>
      </c>
      <c r="M694" s="2818"/>
      <c r="O694" s="1747" t="s">
        <v>2030</v>
      </c>
      <c r="Q694" s="2818">
        <f>Q675+Q681</f>
        <v>191214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Real Estate Taxes were estimated based on the actual assessed value for Dogwood Trail Apartments (Phase I) and a comparison of tax assessments for other tax credit properties in Dougherty County. The assessed value of $900,000/ 64 units = $14,375 per unit. For calculation purposes that value is rounded to $14,500 per unit to be conservative in Phase II.  The calculation is as follows:  Assessed Value of $14,500 X 40 Units = $580,000 X .0467626 (Local Mill Rate) = $27,122 ROUNDED TO $27,150
     Insurance Expense of $30,000 is based on the estimate provided by the insurance broker considering investor required coverages, historical insurance rates for Dogwood Trail Phase , and the current state of the insurance market. A letter is provided in the feasibility tab of the application.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15">
      <c r="A709" s="1747" t="str">
        <f>CONCATENATE("PART SIX - OPERATING PRO FORMA","  -  ",'Part I-Project Identification'!$O$7," ",'Part I-Project Identification'!$F$25,", ",'Part I-Project Identification'!F737,", ",'Part I-Project Identification'!J737," County")</f>
        <v>PART SIX - OPERATING PRO FORMA  -  2023-0 Dogwood Trail Apartments II, ,  County</v>
      </c>
    </row>
    <row r="710" spans="1:11" ht="13.15">
      <c r="A710" s="361"/>
      <c r="B710" s="361"/>
      <c r="C710" s="361"/>
      <c r="D710" s="361"/>
      <c r="E710" s="361"/>
      <c r="F710" s="361"/>
      <c r="G710" s="361"/>
      <c r="H710" s="361"/>
      <c r="I710" s="361"/>
      <c r="J710" s="361"/>
      <c r="K710" s="361"/>
    </row>
    <row r="711" spans="1:11" ht="13.15">
      <c r="A711" s="361" t="s">
        <v>85</v>
      </c>
      <c r="C711" s="2771" t="str">
        <f>'Part I-Project Identification'!$A$6</f>
        <v>April 2023</v>
      </c>
      <c r="D711" s="361" t="s">
        <v>75</v>
      </c>
      <c r="E711" s="2756"/>
      <c r="F711" s="2619" t="s">
        <v>6992</v>
      </c>
    </row>
    <row r="712" spans="1:11">
      <c r="C712" s="2771"/>
    </row>
    <row r="713" spans="1:11" ht="12.75" customHeight="1">
      <c r="A713" s="357" t="s">
        <v>2031</v>
      </c>
      <c r="B713" s="2841">
        <f>'DCA Underwriting Assumptions'!$Q$99</f>
        <v>0.02</v>
      </c>
      <c r="C713" s="2771"/>
      <c r="D713" s="2784" t="s">
        <v>6993</v>
      </c>
      <c r="E713" s="2784"/>
      <c r="F713" s="2784"/>
      <c r="G713" s="2603">
        <f>'Part VI-Pro Forma'!G6</f>
        <v>6000</v>
      </c>
      <c r="H713" s="2814" t="s">
        <v>1768</v>
      </c>
      <c r="K713" s="2842">
        <f>'Part VI-Pro Forma'!K6</f>
        <v>-2.2515700873690252E-2</v>
      </c>
    </row>
    <row r="714" spans="1:11" ht="13.15">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7.0001314016302982E-2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18654</v>
      </c>
    </row>
    <row r="717" spans="1:11">
      <c r="A717" s="357" t="s">
        <v>1336</v>
      </c>
      <c r="B717" s="2841">
        <v>0.02</v>
      </c>
      <c r="D717" s="359" t="s">
        <v>1597</v>
      </c>
      <c r="G717" s="2845">
        <f>'Part VI-Pro Forma'!G10</f>
        <v>0</v>
      </c>
      <c r="H717" s="2846" t="s">
        <v>2174</v>
      </c>
      <c r="K717" s="2605">
        <f>'Part VI-Pro Forma'!K10</f>
        <v>0</v>
      </c>
    </row>
    <row r="719" spans="1:11" ht="13.15">
      <c r="A719" s="361" t="s">
        <v>86</v>
      </c>
      <c r="D719" s="2753"/>
    </row>
    <row r="721" spans="1:11" ht="13.15">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280920</v>
      </c>
      <c r="C722" s="2606">
        <f>'Part VI-Pro Forma'!C15</f>
        <v>286538.40000000002</v>
      </c>
      <c r="D722" s="2606">
        <f>'Part VI-Pro Forma'!D15</f>
        <v>292269.16800000001</v>
      </c>
      <c r="E722" s="2606">
        <f>'Part VI-Pro Forma'!E15</f>
        <v>298114.55135999998</v>
      </c>
      <c r="F722" s="2606">
        <f>'Part VI-Pro Forma'!F15</f>
        <v>304076.84238719998</v>
      </c>
      <c r="G722" s="2606">
        <f>'Part VI-Pro Forma'!G15</f>
        <v>310158.379234944</v>
      </c>
      <c r="H722" s="2606">
        <f>'Part VI-Pro Forma'!H15</f>
        <v>316361.54681964288</v>
      </c>
      <c r="I722" s="2606">
        <f>'Part VI-Pro Forma'!I15</f>
        <v>322688.77775603568</v>
      </c>
      <c r="J722" s="2606">
        <f>'Part VI-Pro Forma'!J15</f>
        <v>329142.55331115646</v>
      </c>
      <c r="K722" s="2606">
        <f>'Part VI-Pro Forma'!K15</f>
        <v>335725.40437737957</v>
      </c>
    </row>
    <row r="723" spans="1:11">
      <c r="A723" s="357" t="s">
        <v>952</v>
      </c>
      <c r="B723" s="2606">
        <f>'Part VI-Pro Forma'!B16</f>
        <v>5618.4000000000005</v>
      </c>
      <c r="C723" s="2606">
        <f>'Part VI-Pro Forma'!C16</f>
        <v>5730.7680000000009</v>
      </c>
      <c r="D723" s="2606">
        <f>'Part VI-Pro Forma'!D16</f>
        <v>5845.3833600000007</v>
      </c>
      <c r="E723" s="2606">
        <f>'Part VI-Pro Forma'!E16</f>
        <v>5962.2910271999999</v>
      </c>
      <c r="F723" s="2606">
        <f>'Part VI-Pro Forma'!F16</f>
        <v>6081.5368477440006</v>
      </c>
      <c r="G723" s="2606">
        <f>'Part VI-Pro Forma'!G16</f>
        <v>6203.167584698881</v>
      </c>
      <c r="H723" s="2606">
        <f>'Part VI-Pro Forma'!H16</f>
        <v>6327.2309363928589</v>
      </c>
      <c r="I723" s="2606">
        <f>'Part VI-Pro Forma'!I16</f>
        <v>6453.7755551207147</v>
      </c>
      <c r="J723" s="2606">
        <f>'Part VI-Pro Forma'!J16</f>
        <v>6582.8510662231292</v>
      </c>
      <c r="K723" s="2606">
        <f>'Part VI-Pro Forma'!K16</f>
        <v>6714.5080875475915</v>
      </c>
    </row>
    <row r="724" spans="1:11">
      <c r="A724" s="357" t="s">
        <v>2216</v>
      </c>
      <c r="B724" s="2606">
        <f>'Part VI-Pro Forma'!B17</f>
        <v>-20057.688000000002</v>
      </c>
      <c r="C724" s="2606">
        <f>'Part VI-Pro Forma'!C17</f>
        <v>-20458.841760000003</v>
      </c>
      <c r="D724" s="2606">
        <f>'Part VI-Pro Forma'!D17</f>
        <v>-20868.018595199999</v>
      </c>
      <c r="E724" s="2606">
        <f>'Part VI-Pro Forma'!E17</f>
        <v>-21285.378967103999</v>
      </c>
      <c r="F724" s="2606">
        <f>'Part VI-Pro Forma'!F17</f>
        <v>-21711.086546446084</v>
      </c>
      <c r="G724" s="2606">
        <f>'Part VI-Pro Forma'!G17</f>
        <v>-22145.308277375003</v>
      </c>
      <c r="H724" s="2606">
        <f>'Part VI-Pro Forma'!H17</f>
        <v>-22588.214442922505</v>
      </c>
      <c r="I724" s="2606">
        <f>'Part VI-Pro Forma'!I17</f>
        <v>-23039.97873178095</v>
      </c>
      <c r="J724" s="2606">
        <f>'Part VI-Pro Forma'!J17</f>
        <v>-23500.778306416571</v>
      </c>
      <c r="K724" s="2606">
        <f>'Part VI-Pro Forma'!K17</f>
        <v>-23970.793872544906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266480.712</v>
      </c>
      <c r="C727" s="2606">
        <f>'Part VI-Pro Forma'!C20</f>
        <v>271810.32624000002</v>
      </c>
      <c r="D727" s="2606">
        <f>'Part VI-Pro Forma'!D20</f>
        <v>277246.53276480001</v>
      </c>
      <c r="E727" s="2606">
        <f>'Part VI-Pro Forma'!E20</f>
        <v>282791.46342009597</v>
      </c>
      <c r="F727" s="2606">
        <f>'Part VI-Pro Forma'!F20</f>
        <v>288447.29268849792</v>
      </c>
      <c r="G727" s="2606">
        <f>'Part VI-Pro Forma'!G20</f>
        <v>294216.23854226788</v>
      </c>
      <c r="H727" s="2606">
        <f>'Part VI-Pro Forma'!H20</f>
        <v>300100.56331311323</v>
      </c>
      <c r="I727" s="2606">
        <f>'Part VI-Pro Forma'!I20</f>
        <v>306102.57457937545</v>
      </c>
      <c r="J727" s="2606">
        <f>'Part VI-Pro Forma'!J20</f>
        <v>312224.62607096299</v>
      </c>
      <c r="K727" s="2606">
        <f>'Part VI-Pro Forma'!K20</f>
        <v>318469.11859238229</v>
      </c>
    </row>
    <row r="728" spans="1:11">
      <c r="A728" s="357" t="s">
        <v>572</v>
      </c>
      <c r="B728" s="2606">
        <f>'Part VI-Pro Forma'!B21</f>
        <v>-162560</v>
      </c>
      <c r="C728" s="2606">
        <f>'Part VI-Pro Forma'!C21</f>
        <v>-167436.80000000002</v>
      </c>
      <c r="D728" s="2606">
        <f>'Part VI-Pro Forma'!D21</f>
        <v>-172459.90399999998</v>
      </c>
      <c r="E728" s="2606">
        <f>'Part VI-Pro Forma'!E21</f>
        <v>-177633.70112000001</v>
      </c>
      <c r="F728" s="2606">
        <f>'Part VI-Pro Forma'!F21</f>
        <v>-182962.71215359998</v>
      </c>
      <c r="G728" s="2606">
        <f>'Part VI-Pro Forma'!G21</f>
        <v>-188451.59351820798</v>
      </c>
      <c r="H728" s="2606">
        <f>'Part VI-Pro Forma'!H21</f>
        <v>-194105.14132375421</v>
      </c>
      <c r="I728" s="2606">
        <f>'Part VI-Pro Forma'!I21</f>
        <v>-199928.29556346688</v>
      </c>
      <c r="J728" s="2606">
        <f>'Part VI-Pro Forma'!J21</f>
        <v>-205926.14443037086</v>
      </c>
      <c r="K728" s="2606">
        <f>'Part VI-Pro Forma'!K21</f>
        <v>-212103.92876328199</v>
      </c>
    </row>
    <row r="729" spans="1:11">
      <c r="A729" s="357" t="s">
        <v>1050</v>
      </c>
      <c r="B729" s="2606">
        <f>'Part VI-Pro Forma'!B22</f>
        <v>-18654</v>
      </c>
      <c r="C729" s="2606">
        <f>'Part VI-Pro Forma'!C22</f>
        <v>-19214</v>
      </c>
      <c r="D729" s="2606">
        <f>'Part VI-Pro Forma'!D22</f>
        <v>-19790</v>
      </c>
      <c r="E729" s="2606">
        <f>'Part VI-Pro Forma'!E22</f>
        <v>-20384</v>
      </c>
      <c r="F729" s="2606">
        <f>'Part VI-Pro Forma'!F22</f>
        <v>-20995</v>
      </c>
      <c r="G729" s="2606">
        <f>'Part VI-Pro Forma'!G22</f>
        <v>-21625</v>
      </c>
      <c r="H729" s="2606">
        <f>'Part VI-Pro Forma'!H22</f>
        <v>-22274</v>
      </c>
      <c r="I729" s="2606">
        <f>'Part VI-Pro Forma'!I22</f>
        <v>-22942</v>
      </c>
      <c r="J729" s="2606">
        <f>'Part VI-Pro Forma'!J22</f>
        <v>-23630</v>
      </c>
      <c r="K729" s="2606">
        <f>'Part VI-Pro Forma'!K22</f>
        <v>-24339</v>
      </c>
    </row>
    <row r="730" spans="1:11">
      <c r="A730" s="357" t="s">
        <v>1128</v>
      </c>
      <c r="B730" s="2606">
        <f>'Part VI-Pro Forma'!B23</f>
        <v>-10000</v>
      </c>
      <c r="C730" s="2606">
        <f>'Part VI-Pro Forma'!C23</f>
        <v>-10300</v>
      </c>
      <c r="D730" s="2606">
        <f>'Part VI-Pro Forma'!D23</f>
        <v>-10609</v>
      </c>
      <c r="E730" s="2606">
        <f>'Part VI-Pro Forma'!E23</f>
        <v>-10927.27</v>
      </c>
      <c r="F730" s="2606">
        <f>'Part VI-Pro Forma'!F23</f>
        <v>-11255.088099999999</v>
      </c>
      <c r="G730" s="2606">
        <f>'Part VI-Pro Forma'!G23</f>
        <v>-11592.740742999998</v>
      </c>
      <c r="H730" s="2606">
        <f>'Part VI-Pro Forma'!H23</f>
        <v>-11940.52296529</v>
      </c>
      <c r="I730" s="2606">
        <f>'Part VI-Pro Forma'!I23</f>
        <v>-12298.7386542487</v>
      </c>
      <c r="J730" s="2606">
        <f>'Part VI-Pro Forma'!J23</f>
        <v>-12667.700813876159</v>
      </c>
      <c r="K730" s="2606">
        <f>'Part VI-Pro Forma'!K23</f>
        <v>-13047.731838292444</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75266.712</v>
      </c>
      <c r="C732" s="2606">
        <f t="shared" ref="C732:J732" si="377">SUM(C727:C731)</f>
        <v>74859.526240000007</v>
      </c>
      <c r="D732" s="2606">
        <f t="shared" si="377"/>
        <v>74387.628764800029</v>
      </c>
      <c r="E732" s="2606">
        <f t="shared" si="377"/>
        <v>73846.492300095953</v>
      </c>
      <c r="F732" s="2606">
        <f t="shared" si="377"/>
        <v>73234.492434897955</v>
      </c>
      <c r="G732" s="2606">
        <f t="shared" si="377"/>
        <v>72546.904281059891</v>
      </c>
      <c r="H732" s="2606">
        <f t="shared" si="377"/>
        <v>71780.899024069018</v>
      </c>
      <c r="I732" s="2606">
        <f t="shared" si="377"/>
        <v>70933.540361659863</v>
      </c>
      <c r="J732" s="2606">
        <f t="shared" si="377"/>
        <v>70000.780826715971</v>
      </c>
      <c r="K732" s="2606">
        <f>SUM(K727:K731)</f>
        <v>68978.457990807859</v>
      </c>
    </row>
    <row r="733" spans="1:11">
      <c r="A733" s="357" t="s">
        <v>1486</v>
      </c>
      <c r="B733" s="2606">
        <f>'Part VI-Pro Forma'!B26</f>
        <v>-49156.163650470116</v>
      </c>
      <c r="C733" s="2606">
        <f>'Part VI-Pro Forma'!C26</f>
        <v>-49156.163650470116</v>
      </c>
      <c r="D733" s="2606">
        <f>'Part VI-Pro Forma'!D26</f>
        <v>-49156.163650470116</v>
      </c>
      <c r="E733" s="2606">
        <f>'Part VI-Pro Forma'!E26</f>
        <v>-49156.163650470116</v>
      </c>
      <c r="F733" s="2606">
        <f>'Part VI-Pro Forma'!F26</f>
        <v>-49156.163650470116</v>
      </c>
      <c r="G733" s="2606">
        <f>'Part VI-Pro Forma'!G26</f>
        <v>-49156.163650470116</v>
      </c>
      <c r="H733" s="2606">
        <f>'Part VI-Pro Forma'!H26</f>
        <v>-49156.163650470116</v>
      </c>
      <c r="I733" s="2606">
        <f>'Part VI-Pro Forma'!I26</f>
        <v>-49156.163650470116</v>
      </c>
      <c r="J733" s="2606">
        <f>'Part VI-Pro Forma'!J26</f>
        <v>-49156.163650470116</v>
      </c>
      <c r="K733" s="2606">
        <f>'Part VI-Pro Forma'!K26</f>
        <v>-49156.163650470116</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-6000</v>
      </c>
      <c r="C738" s="2606">
        <f>'Part VI-Pro Forma'!C31</f>
        <v>-6180</v>
      </c>
      <c r="D738" s="2606">
        <f>'Part VI-Pro Forma'!D31</f>
        <v>-6365.4000000000005</v>
      </c>
      <c r="E738" s="2606">
        <f>'Part VI-Pro Forma'!E31</f>
        <v>-6556.362000000001</v>
      </c>
      <c r="F738" s="2606">
        <f>'Part VI-Pro Forma'!F31</f>
        <v>-6753.0528600000016</v>
      </c>
      <c r="G738" s="2606">
        <f>'Part VI-Pro Forma'!G31</f>
        <v>-6955.6444458000014</v>
      </c>
      <c r="H738" s="2606">
        <f>'Part VI-Pro Forma'!H31</f>
        <v>-7164.3137791740019</v>
      </c>
      <c r="I738" s="2606">
        <f>'Part VI-Pro Forma'!I31</f>
        <v>-7379.2431925492219</v>
      </c>
      <c r="J738" s="2606">
        <f>'Part VI-Pro Forma'!J31</f>
        <v>-7600.6204883256987</v>
      </c>
      <c r="K738" s="2606">
        <f>'Part VI-Pro Forma'!K31</f>
        <v>-7828.6391029754695</v>
      </c>
    </row>
    <row r="739" spans="1:11">
      <c r="A739" s="357" t="s">
        <v>3361</v>
      </c>
      <c r="B739" s="2606">
        <f>'Part VI-Pro Forma'!B32</f>
        <v>-2153</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17957.548349529883</v>
      </c>
      <c r="C740" s="2606">
        <f t="shared" si="378"/>
        <v>19523.36258952989</v>
      </c>
      <c r="D740" s="2606">
        <f t="shared" si="378"/>
        <v>18866.065114329911</v>
      </c>
      <c r="E740" s="2606">
        <f t="shared" si="378"/>
        <v>18133.966649625836</v>
      </c>
      <c r="F740" s="2606">
        <f t="shared" si="378"/>
        <v>17325.275924427835</v>
      </c>
      <c r="G740" s="2606">
        <f t="shared" si="378"/>
        <v>16435.096184789774</v>
      </c>
      <c r="H740" s="2606">
        <f t="shared" si="378"/>
        <v>15460.421594424901</v>
      </c>
      <c r="I740" s="2606">
        <f t="shared" si="378"/>
        <v>14398.133518640525</v>
      </c>
      <c r="J740" s="2606">
        <f t="shared" si="378"/>
        <v>13243.996687920157</v>
      </c>
      <c r="K740" s="2606">
        <f t="shared" si="378"/>
        <v>11993.655237362273</v>
      </c>
    </row>
    <row r="741" spans="1:11">
      <c r="A741" s="357" t="str">
        <f>IF('Part II-Sources of Funds'!$E$40 = "Neither", "", "DCR Mortgage A")</f>
        <v>DCR Mortgage A</v>
      </c>
      <c r="B741" s="2607">
        <f t="shared" ref="B741:K741" si="379">IF(B733=0,"",-B732/B733)</f>
        <v>1.5311754703884457</v>
      </c>
      <c r="C741" s="2607">
        <f t="shared" si="379"/>
        <v>1.5228919565875045</v>
      </c>
      <c r="D741" s="2607">
        <f t="shared" si="379"/>
        <v>1.5132919910866276</v>
      </c>
      <c r="E741" s="2607">
        <f t="shared" si="379"/>
        <v>1.5022834740560496</v>
      </c>
      <c r="F741" s="2607">
        <f t="shared" si="379"/>
        <v>1.4898333595688882</v>
      </c>
      <c r="G741" s="2607">
        <f t="shared" si="379"/>
        <v>1.475845527672013</v>
      </c>
      <c r="H741" s="2607">
        <f t="shared" si="379"/>
        <v>1.4602624308616592</v>
      </c>
      <c r="I741" s="2607">
        <f t="shared" si="379"/>
        <v>1.4430243349753653</v>
      </c>
      <c r="J741" s="2607">
        <f t="shared" si="379"/>
        <v>1.4240489010587485</v>
      </c>
      <c r="K741" s="2607">
        <f t="shared" si="379"/>
        <v>1.4032514514616352</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1.5311754703884457</v>
      </c>
      <c r="C745" s="2607">
        <f t="shared" si="383"/>
        <v>1.5228919565875045</v>
      </c>
      <c r="D745" s="2607">
        <f t="shared" si="383"/>
        <v>1.5132919910866276</v>
      </c>
      <c r="E745" s="2607">
        <f t="shared" si="383"/>
        <v>1.5022834740560496</v>
      </c>
      <c r="F745" s="2607">
        <f t="shared" si="383"/>
        <v>1.4898333595688882</v>
      </c>
      <c r="G745" s="2607">
        <f t="shared" si="383"/>
        <v>1.475845527672013</v>
      </c>
      <c r="H745" s="2607">
        <f t="shared" si="383"/>
        <v>1.4602624308616592</v>
      </c>
      <c r="I745" s="2607">
        <f t="shared" si="383"/>
        <v>1.4430243349753653</v>
      </c>
      <c r="J745" s="2607">
        <f t="shared" si="383"/>
        <v>1.4240489010587485</v>
      </c>
      <c r="K745" s="2607">
        <f t="shared" si="383"/>
        <v>1.4032514514616352</v>
      </c>
    </row>
    <row r="746" spans="1:11">
      <c r="A746" s="357" t="s">
        <v>718</v>
      </c>
      <c r="B746" s="2608">
        <f t="shared" ref="B746:K746" si="384">IF(OR(B729="Choose mgt fee",B729="Choose One!"),"",(B722+B723+B724+B725+B726) / -(B728+B729+B730))</f>
        <v>1.3936255295114375</v>
      </c>
      <c r="C746" s="2608">
        <f t="shared" si="384"/>
        <v>1.3800925217871671</v>
      </c>
      <c r="D746" s="2608">
        <f t="shared" si="384"/>
        <v>1.3666963948735522</v>
      </c>
      <c r="E746" s="2608">
        <f t="shared" si="384"/>
        <v>1.3534255546054033</v>
      </c>
      <c r="F746" s="2608">
        <f t="shared" si="384"/>
        <v>1.3402887390926597</v>
      </c>
      <c r="G746" s="2608">
        <f t="shared" si="384"/>
        <v>1.3272753289165968</v>
      </c>
      <c r="H746" s="2608">
        <f t="shared" si="384"/>
        <v>1.3143877214763118</v>
      </c>
      <c r="I746" s="2608">
        <f t="shared" si="384"/>
        <v>1.3016278933049952</v>
      </c>
      <c r="J746" s="2608">
        <f t="shared" si="384"/>
        <v>1.2889921128786084</v>
      </c>
      <c r="K746" s="2608">
        <f t="shared" si="384"/>
        <v>1.2764771147123757</v>
      </c>
    </row>
    <row r="747" spans="1:11">
      <c r="A747" s="357" t="s">
        <v>2405</v>
      </c>
      <c r="B747" s="2606">
        <f>'Part VI-Pro Forma'!B40</f>
        <v>636788.0706325206</v>
      </c>
      <c r="C747" s="2606">
        <f>'Part VI-Pro Forma'!C40</f>
        <v>632057.20253433415</v>
      </c>
      <c r="D747" s="2606">
        <f>'Part VI-Pro Forma'!D40</f>
        <v>626984.3395988096</v>
      </c>
      <c r="E747" s="2606">
        <f>'Part VI-Pro Forma'!E40</f>
        <v>621544.75899150339</v>
      </c>
      <c r="F747" s="2606">
        <f>'Part VI-Pro Forma'!F40</f>
        <v>615711.950662271</v>
      </c>
      <c r="G747" s="2606">
        <f>'Part VI-Pro Forma'!G40</f>
        <v>609457.4881472995</v>
      </c>
      <c r="H747" s="2606">
        <f>'Part VI-Pro Forma'!H40</f>
        <v>602750.8900314084</v>
      </c>
      <c r="I747" s="2606">
        <f>'Part VI-Pro Forma'!I40</f>
        <v>595559.47139544925</v>
      </c>
      <c r="J747" s="2606">
        <f>'Part VI-Pro Forma'!J40</f>
        <v>587848.18452482554</v>
      </c>
      <c r="K747" s="2606">
        <f>'Part VI-Pro Forma'!K40</f>
        <v>579579.4481028188</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ht="13.15">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342439.91246492718</v>
      </c>
      <c r="C754" s="2606">
        <f>'Part VI-Pro Forma'!C47</f>
        <v>349288.71071422566</v>
      </c>
      <c r="D754" s="2606">
        <f>'Part VI-Pro Forma'!D47</f>
        <v>356274.48492851021</v>
      </c>
      <c r="E754" s="2606">
        <f>'Part VI-Pro Forma'!E47</f>
        <v>363399.97462708037</v>
      </c>
      <c r="F754" s="2606">
        <f>'Part VI-Pro Forma'!F47</f>
        <v>370667.97411962203</v>
      </c>
      <c r="G754" s="2606">
        <f>'Part VI-Pro Forma'!G47</f>
        <v>378081.33360201441</v>
      </c>
      <c r="H754" s="2606">
        <f>'Part VI-Pro Forma'!H47</f>
        <v>385642.96027405473</v>
      </c>
      <c r="I754" s="2606">
        <f>'Part VI-Pro Forma'!I47</f>
        <v>393355.81947953586</v>
      </c>
      <c r="J754" s="2606">
        <f>'Part VI-Pro Forma'!J47</f>
        <v>401222.93586912652</v>
      </c>
      <c r="K754" s="2606">
        <f>'Part VI-Pro Forma'!K47</f>
        <v>409247.39458650904</v>
      </c>
    </row>
    <row r="755" spans="1:11">
      <c r="A755" s="357" t="s">
        <v>952</v>
      </c>
      <c r="B755" s="2606">
        <f>'Part VI-Pro Forma'!B48</f>
        <v>6848.7982492985439</v>
      </c>
      <c r="C755" s="2606">
        <f>'Part VI-Pro Forma'!C48</f>
        <v>6985.7742142845136</v>
      </c>
      <c r="D755" s="2606">
        <f>'Part VI-Pro Forma'!D48</f>
        <v>7125.4896985702053</v>
      </c>
      <c r="E755" s="2606">
        <f>'Part VI-Pro Forma'!E48</f>
        <v>7267.9994925416086</v>
      </c>
      <c r="F755" s="2606">
        <f>'Part VI-Pro Forma'!F48</f>
        <v>7413.3594823924414</v>
      </c>
      <c r="G755" s="2606">
        <f>'Part VI-Pro Forma'!G48</f>
        <v>7561.6266720402882</v>
      </c>
      <c r="H755" s="2606">
        <f>'Part VI-Pro Forma'!H48</f>
        <v>7712.8592054810952</v>
      </c>
      <c r="I755" s="2606">
        <f>'Part VI-Pro Forma'!I48</f>
        <v>7867.1163895907184</v>
      </c>
      <c r="J755" s="2606">
        <f>'Part VI-Pro Forma'!J48</f>
        <v>8024.4587173825312</v>
      </c>
      <c r="K755" s="2606">
        <f>'Part VI-Pro Forma'!K48</f>
        <v>8184.9478917301822</v>
      </c>
    </row>
    <row r="756" spans="1:11">
      <c r="A756" s="357" t="s">
        <v>2216</v>
      </c>
      <c r="B756" s="2606">
        <f>'Part VI-Pro Forma'!B49</f>
        <v>-24450.209749995804</v>
      </c>
      <c r="C756" s="2606">
        <f>'Part VI-Pro Forma'!C49</f>
        <v>-24939.213944995714</v>
      </c>
      <c r="D756" s="2606">
        <f>'Part VI-Pro Forma'!D49</f>
        <v>-25437.998223895633</v>
      </c>
      <c r="E756" s="2606">
        <f>'Part VI-Pro Forma'!E49</f>
        <v>-25946.75818837354</v>
      </c>
      <c r="F756" s="2606">
        <f>'Part VI-Pro Forma'!F49</f>
        <v>-26465.693352141014</v>
      </c>
      <c r="G756" s="2606">
        <f>'Part VI-Pro Forma'!G49</f>
        <v>-26995.00721918383</v>
      </c>
      <c r="H756" s="2606">
        <f>'Part VI-Pro Forma'!H49</f>
        <v>-27534.907363567509</v>
      </c>
      <c r="I756" s="2606">
        <f>'Part VI-Pro Forma'!I49</f>
        <v>-28085.605510838865</v>
      </c>
      <c r="J756" s="2606">
        <f>'Part VI-Pro Forma'!J49</f>
        <v>-28647.317621055634</v>
      </c>
      <c r="K756" s="2606">
        <f>'Part VI-Pro Forma'!K49</f>
        <v>-29220.263973476747</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324838.50096422993</v>
      </c>
      <c r="C759" s="2606">
        <f>'Part VI-Pro Forma'!C52</f>
        <v>331335.27098351443</v>
      </c>
      <c r="D759" s="2606">
        <f>'Part VI-Pro Forma'!D52</f>
        <v>337961.97640318482</v>
      </c>
      <c r="E759" s="2606">
        <f>'Part VI-Pro Forma'!E52</f>
        <v>344721.21593124844</v>
      </c>
      <c r="F759" s="2606">
        <f>'Part VI-Pro Forma'!F52</f>
        <v>351615.64024987345</v>
      </c>
      <c r="G759" s="2606">
        <f>'Part VI-Pro Forma'!G52</f>
        <v>358647.95305487083</v>
      </c>
      <c r="H759" s="2606">
        <f>'Part VI-Pro Forma'!H52</f>
        <v>365820.9121159683</v>
      </c>
      <c r="I759" s="2606">
        <f>'Part VI-Pro Forma'!I52</f>
        <v>373137.33035828773</v>
      </c>
      <c r="J759" s="2606">
        <f>'Part VI-Pro Forma'!J52</f>
        <v>380600.07696545339</v>
      </c>
      <c r="K759" s="2606">
        <f>'Part VI-Pro Forma'!K52</f>
        <v>388212.07850476244</v>
      </c>
    </row>
    <row r="760" spans="1:11">
      <c r="A760" s="357" t="s">
        <v>572</v>
      </c>
      <c r="B760" s="2606">
        <f>'Part VI-Pro Forma'!B53</f>
        <v>-218467.04662618044</v>
      </c>
      <c r="C760" s="2606">
        <f>'Part VI-Pro Forma'!C53</f>
        <v>-225021.05802496587</v>
      </c>
      <c r="D760" s="2606">
        <f>'Part VI-Pro Forma'!D53</f>
        <v>-231771.68976571481</v>
      </c>
      <c r="E760" s="2606">
        <f>'Part VI-Pro Forma'!E53</f>
        <v>-238724.84045868623</v>
      </c>
      <c r="F760" s="2606">
        <f>'Part VI-Pro Forma'!F53</f>
        <v>-245886.58567244685</v>
      </c>
      <c r="G760" s="2606">
        <f>'Part VI-Pro Forma'!G53</f>
        <v>-253263.18324262026</v>
      </c>
      <c r="H760" s="2606">
        <f>'Part VI-Pro Forma'!H53</f>
        <v>-260861.07873989883</v>
      </c>
      <c r="I760" s="2606">
        <f>'Part VI-Pro Forma'!I53</f>
        <v>-268686.91110209579</v>
      </c>
      <c r="J760" s="2606">
        <f>'Part VI-Pro Forma'!J53</f>
        <v>-276747.51843515865</v>
      </c>
      <c r="K760" s="2606">
        <f>'Part VI-Pro Forma'!K53</f>
        <v>-285049.94398821343</v>
      </c>
    </row>
    <row r="761" spans="1:11">
      <c r="A761" s="357" t="s">
        <v>1050</v>
      </c>
      <c r="B761" s="2606">
        <f>'Part VI-Pro Forma'!B54</f>
        <v>-25069</v>
      </c>
      <c r="C761" s="2606">
        <f>'Part VI-Pro Forma'!C54</f>
        <v>-25821</v>
      </c>
      <c r="D761" s="2606">
        <f>'Part VI-Pro Forma'!D54</f>
        <v>-26596</v>
      </c>
      <c r="E761" s="2606">
        <f>'Part VI-Pro Forma'!E54</f>
        <v>-27394</v>
      </c>
      <c r="F761" s="2606">
        <f>'Part VI-Pro Forma'!F54</f>
        <v>-28216</v>
      </c>
      <c r="G761" s="2606">
        <f>'Part VI-Pro Forma'!G54</f>
        <v>-29062</v>
      </c>
      <c r="H761" s="2606">
        <f>'Part VI-Pro Forma'!H54</f>
        <v>-29934</v>
      </c>
      <c r="I761" s="2606">
        <f>'Part VI-Pro Forma'!I54</f>
        <v>-30832</v>
      </c>
      <c r="J761" s="2606">
        <f>'Part VI-Pro Forma'!J54</f>
        <v>-31757</v>
      </c>
      <c r="K761" s="2606">
        <f>'Part VI-Pro Forma'!K54</f>
        <v>-32710</v>
      </c>
    </row>
    <row r="762" spans="1:11">
      <c r="A762" s="357" t="s">
        <v>1128</v>
      </c>
      <c r="B762" s="2606">
        <f>'Part VI-Pro Forma'!B55</f>
        <v>-13439.163793441217</v>
      </c>
      <c r="C762" s="2606">
        <f>'Part VI-Pro Forma'!C55</f>
        <v>-13842.338707244455</v>
      </c>
      <c r="D762" s="2606">
        <f>'Part VI-Pro Forma'!D55</f>
        <v>-14257.608868461786</v>
      </c>
      <c r="E762" s="2606">
        <f>'Part VI-Pro Forma'!E55</f>
        <v>-14685.337134515639</v>
      </c>
      <c r="F762" s="2606">
        <f>'Part VI-Pro Forma'!F55</f>
        <v>-15125.897248551109</v>
      </c>
      <c r="G762" s="2606">
        <f>'Part VI-Pro Forma'!G55</f>
        <v>-15579.674166007644</v>
      </c>
      <c r="H762" s="2606">
        <f>'Part VI-Pro Forma'!H55</f>
        <v>-16047.064390987871</v>
      </c>
      <c r="I762" s="2606">
        <f>'Part VI-Pro Forma'!I55</f>
        <v>-16528.476322717506</v>
      </c>
      <c r="J762" s="2606">
        <f>'Part VI-Pro Forma'!J55</f>
        <v>-17024.330612399033</v>
      </c>
      <c r="K762" s="2606">
        <f>'Part VI-Pro Forma'!K55</f>
        <v>-17535.060530771003</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67863.290544608273</v>
      </c>
      <c r="C764" s="2606">
        <f t="shared" si="386"/>
        <v>66650.874251304107</v>
      </c>
      <c r="D764" s="2606">
        <f t="shared" si="386"/>
        <v>65336.677769008224</v>
      </c>
      <c r="E764" s="2606">
        <f t="shared" si="386"/>
        <v>63917.038338046572</v>
      </c>
      <c r="F764" s="2606">
        <f t="shared" si="386"/>
        <v>62387.157328875495</v>
      </c>
      <c r="G764" s="2606">
        <f t="shared" si="386"/>
        <v>60743.095646242924</v>
      </c>
      <c r="H764" s="2606">
        <f t="shared" si="386"/>
        <v>58978.768985081595</v>
      </c>
      <c r="I764" s="2606">
        <f t="shared" si="386"/>
        <v>57089.942933474427</v>
      </c>
      <c r="J764" s="2606">
        <f t="shared" si="386"/>
        <v>55071.227917895711</v>
      </c>
      <c r="K764" s="2606">
        <f t="shared" si="386"/>
        <v>52917.073985777999</v>
      </c>
    </row>
    <row r="765" spans="1:11">
      <c r="A765" s="357" t="str">
        <f>$A733</f>
        <v>Mortgage A</v>
      </c>
      <c r="B765" s="2606">
        <f>'Part VI-Pro Forma'!B58</f>
        <v>-49156.163650470116</v>
      </c>
      <c r="C765" s="2606">
        <f>'Part VI-Pro Forma'!C58</f>
        <v>-49156.163650470116</v>
      </c>
      <c r="D765" s="2606">
        <f>'Part VI-Pro Forma'!D58</f>
        <v>-49156.163650470116</v>
      </c>
      <c r="E765" s="2606">
        <f>'Part VI-Pro Forma'!E58</f>
        <v>-49156.163650470116</v>
      </c>
      <c r="F765" s="2606">
        <f>'Part VI-Pro Forma'!F58</f>
        <v>-49156.163650470116</v>
      </c>
      <c r="G765" s="2606">
        <f>'Part VI-Pro Forma'!G58</f>
        <v>-49156.163650470116</v>
      </c>
      <c r="H765" s="2606">
        <f>'Part VI-Pro Forma'!H58</f>
        <v>-49156.163650470116</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-8063.4982760647335</v>
      </c>
      <c r="C770" s="2606">
        <f>'Part VI-Pro Forma'!C63</f>
        <v>-8305.4032243466754</v>
      </c>
      <c r="D770" s="2606">
        <f>'Part VI-Pro Forma'!D63</f>
        <v>-8554.5653210770761</v>
      </c>
      <c r="E770" s="2606">
        <f>'Part VI-Pro Forma'!E63</f>
        <v>-8811.202280709389</v>
      </c>
      <c r="F770" s="2606">
        <f>'Part VI-Pro Forma'!F63</f>
        <v>-9075.5383491306711</v>
      </c>
      <c r="G770" s="2606">
        <f>'Part VI-Pro Forma'!G63</f>
        <v>0</v>
      </c>
      <c r="H770" s="2606">
        <f>'Part VI-Pro Forma'!H63</f>
        <v>0</v>
      </c>
      <c r="I770" s="2606">
        <f>'Part VI-Pro Forma'!I63</f>
        <v>0</v>
      </c>
      <c r="J770" s="2606">
        <f>'Part VI-Pro Forma'!J63</f>
        <v>0</v>
      </c>
      <c r="K770" s="2606">
        <f>'Part VI-Pro Forma'!K63</f>
        <v>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10643.628618073424</v>
      </c>
      <c r="C772" s="2606">
        <f t="shared" si="387"/>
        <v>9189.3073764873152</v>
      </c>
      <c r="D772" s="2606">
        <f t="shared" si="387"/>
        <v>7625.9487974610311</v>
      </c>
      <c r="E772" s="2606">
        <f t="shared" si="387"/>
        <v>5949.6724068670665</v>
      </c>
      <c r="F772" s="2606">
        <f t="shared" si="387"/>
        <v>4155.4553292747078</v>
      </c>
      <c r="G772" s="2606">
        <f t="shared" si="387"/>
        <v>11586.931995772808</v>
      </c>
      <c r="H772" s="2606">
        <f t="shared" si="387"/>
        <v>9822.6053346114786</v>
      </c>
      <c r="I772" s="2606">
        <f t="shared" si="387"/>
        <v>57089.942933474427</v>
      </c>
      <c r="J772" s="2606">
        <f t="shared" si="387"/>
        <v>55071.227917895711</v>
      </c>
      <c r="K772" s="2606">
        <f t="shared" si="387"/>
        <v>52917.073985777999</v>
      </c>
    </row>
    <row r="773" spans="1:11">
      <c r="A773" s="357" t="str">
        <f>$A741</f>
        <v>DCR Mortgage A</v>
      </c>
      <c r="B773" s="2607">
        <f t="shared" ref="B773:K773" si="388">IF(B765=0,"",-B764/B765)</f>
        <v>1.3805652334294654</v>
      </c>
      <c r="C773" s="2607">
        <f t="shared" si="388"/>
        <v>1.3559006501246091</v>
      </c>
      <c r="D773" s="2607">
        <f t="shared" si="388"/>
        <v>1.3291655189691225</v>
      </c>
      <c r="E773" s="2607">
        <f t="shared" si="388"/>
        <v>1.3002853272386174</v>
      </c>
      <c r="F773" s="2607">
        <f t="shared" si="388"/>
        <v>1.269162454834468</v>
      </c>
      <c r="G773" s="2607">
        <f t="shared" si="388"/>
        <v>1.2357167674467613</v>
      </c>
      <c r="H773" s="2607">
        <f t="shared" si="388"/>
        <v>1.1998244900569561</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1.3805652334294654</v>
      </c>
      <c r="C777" s="2607">
        <f t="shared" si="392"/>
        <v>1.3559006501246091</v>
      </c>
      <c r="D777" s="2607">
        <f t="shared" si="392"/>
        <v>1.3291655189691225</v>
      </c>
      <c r="E777" s="2607">
        <f t="shared" si="392"/>
        <v>1.3002853272386174</v>
      </c>
      <c r="F777" s="2607">
        <f t="shared" si="392"/>
        <v>1.269162454834468</v>
      </c>
      <c r="G777" s="2607">
        <f t="shared" si="392"/>
        <v>1.2357167674467613</v>
      </c>
      <c r="H777" s="2607">
        <f t="shared" si="392"/>
        <v>1.1998244900569561</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1.2640849692614027</v>
      </c>
      <c r="C778" s="2608">
        <f t="shared" si="393"/>
        <v>1.2518126307186024</v>
      </c>
      <c r="D778" s="2608">
        <f t="shared" si="393"/>
        <v>1.2396574275987515</v>
      </c>
      <c r="E778" s="2608">
        <f t="shared" si="393"/>
        <v>1.2276213939759919</v>
      </c>
      <c r="F778" s="2608">
        <f t="shared" si="393"/>
        <v>1.215701983078604</v>
      </c>
      <c r="G778" s="2608">
        <f t="shared" si="393"/>
        <v>1.2039009909896274</v>
      </c>
      <c r="H778" s="2608">
        <f t="shared" si="393"/>
        <v>1.192212087894079</v>
      </c>
      <c r="I778" s="2608">
        <f t="shared" si="393"/>
        <v>1.1806372879670013</v>
      </c>
      <c r="J778" s="2608">
        <f t="shared" si="393"/>
        <v>1.1691746463609134</v>
      </c>
      <c r="K778" s="2608">
        <f t="shared" si="393"/>
        <v>1.1578224347890094</v>
      </c>
    </row>
    <row r="779" spans="1:11">
      <c r="A779" s="357" t="s">
        <v>2405</v>
      </c>
      <c r="B779" s="2606">
        <f>'Part VI-Pro Forma'!B72</f>
        <v>570712.96405628638</v>
      </c>
      <c r="C779" s="2606">
        <f>'Part VI-Pro Forma'!C72</f>
        <v>561205.52116111957</v>
      </c>
      <c r="D779" s="2606">
        <f>'Part VI-Pro Forma'!D72</f>
        <v>551010.78445032507</v>
      </c>
      <c r="E779" s="2606">
        <f>'Part VI-Pro Forma'!E72</f>
        <v>540079.06939839921</v>
      </c>
      <c r="F779" s="2606">
        <f>'Part VI-Pro Forma'!F72</f>
        <v>528357.09978147235</v>
      </c>
      <c r="G779" s="2606">
        <f>'Part VI-Pro Forma'!G72</f>
        <v>515787.74803314346</v>
      </c>
      <c r="H779" s="2606">
        <f>'Part VI-Pro Forma'!H72</f>
        <v>502309.75683061744</v>
      </c>
      <c r="I779" s="2606">
        <f>'Part VI-Pro Forma'!I72</f>
        <v>538621.76976677892</v>
      </c>
      <c r="J779" s="2606">
        <f>'Part VI-Pro Forma'!J72</f>
        <v>577558.78105414822</v>
      </c>
      <c r="K779" s="2606">
        <f>'Part VI-Pro Forma'!K72</f>
        <v>619310.55203578167</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ht="13.15">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417432.34247823927</v>
      </c>
      <c r="C786" s="2606">
        <f>'Part VI-Pro Forma'!C79</f>
        <v>425780.98932780401</v>
      </c>
      <c r="D786" s="2606">
        <f>'Part VI-Pro Forma'!D79</f>
        <v>434296.60911436012</v>
      </c>
      <c r="E786" s="2606">
        <f>'Part VI-Pro Forma'!E79</f>
        <v>442982.54129664728</v>
      </c>
      <c r="F786" s="2606">
        <f>'Part VI-Pro Forma'!F79</f>
        <v>451842.19212258019</v>
      </c>
      <c r="G786" s="2606">
        <f>'Part VI-Pro Forma'!G79</f>
        <v>460879.03596503183</v>
      </c>
      <c r="H786" s="2606">
        <f>'Part VI-Pro Forma'!H79</f>
        <v>470096.61668433249</v>
      </c>
      <c r="I786" s="2606">
        <f>'Part VI-Pro Forma'!I79</f>
        <v>479498.54901801905</v>
      </c>
      <c r="J786" s="2606">
        <f>'Part VI-Pro Forma'!J79</f>
        <v>489088.51999837958</v>
      </c>
      <c r="K786" s="2606">
        <f>'Part VI-Pro Forma'!K79</f>
        <v>498870.29039834708</v>
      </c>
    </row>
    <row r="787" spans="1:11">
      <c r="A787" s="357" t="s">
        <v>952</v>
      </c>
      <c r="B787" s="2606">
        <f>'Part VI-Pro Forma'!B80</f>
        <v>8348.646849564786</v>
      </c>
      <c r="C787" s="2606">
        <f>'Part VI-Pro Forma'!C80</f>
        <v>8515.6197865560807</v>
      </c>
      <c r="D787" s="2606">
        <f>'Part VI-Pro Forma'!D80</f>
        <v>8685.9321822872043</v>
      </c>
      <c r="E787" s="2606">
        <f>'Part VI-Pro Forma'!E80</f>
        <v>8859.6508259329457</v>
      </c>
      <c r="F787" s="2606">
        <f>'Part VI-Pro Forma'!F80</f>
        <v>9036.8438424516044</v>
      </c>
      <c r="G787" s="2606">
        <f>'Part VI-Pro Forma'!G80</f>
        <v>9217.5807193006367</v>
      </c>
      <c r="H787" s="2606">
        <f>'Part VI-Pro Forma'!H80</f>
        <v>9401.932333686651</v>
      </c>
      <c r="I787" s="2606">
        <f>'Part VI-Pro Forma'!I80</f>
        <v>9589.9709803603819</v>
      </c>
      <c r="J787" s="2606">
        <f>'Part VI-Pro Forma'!J80</f>
        <v>9781.7703999675923</v>
      </c>
      <c r="K787" s="2606">
        <f>'Part VI-Pro Forma'!K80</f>
        <v>9977.405807966943</v>
      </c>
    </row>
    <row r="788" spans="1:11">
      <c r="A788" s="357" t="s">
        <v>2216</v>
      </c>
      <c r="B788" s="2606">
        <f>'Part VI-Pro Forma'!B81</f>
        <v>-29804.669252946289</v>
      </c>
      <c r="C788" s="2606">
        <f>'Part VI-Pro Forma'!C81</f>
        <v>-30400.762638005206</v>
      </c>
      <c r="D788" s="2606">
        <f>'Part VI-Pro Forma'!D81</f>
        <v>-31008.777890765316</v>
      </c>
      <c r="E788" s="2606">
        <f>'Part VI-Pro Forma'!E81</f>
        <v>-31628.953448580622</v>
      </c>
      <c r="F788" s="2606">
        <f>'Part VI-Pro Forma'!F81</f>
        <v>-32261.532517552227</v>
      </c>
      <c r="G788" s="2606">
        <f>'Part VI-Pro Forma'!G81</f>
        <v>-32906.763167903278</v>
      </c>
      <c r="H788" s="2606">
        <f>'Part VI-Pro Forma'!H81</f>
        <v>-33564.898431261339</v>
      </c>
      <c r="I788" s="2606">
        <f>'Part VI-Pro Forma'!I81</f>
        <v>-34236.196399886569</v>
      </c>
      <c r="J788" s="2606">
        <f>'Part VI-Pro Forma'!J81</f>
        <v>-34920.920327884305</v>
      </c>
      <c r="K788" s="2606">
        <f>'Part VI-Pro Forma'!K81</f>
        <v>-35619.338734441983</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395976.32007485779</v>
      </c>
      <c r="C791" s="2606">
        <f>'Part VI-Pro Forma'!C84</f>
        <v>403895.84647635487</v>
      </c>
      <c r="D791" s="2606">
        <f>'Part VI-Pro Forma'!D84</f>
        <v>411973.763405882</v>
      </c>
      <c r="E791" s="2606">
        <f>'Part VI-Pro Forma'!E84</f>
        <v>420213.23867399961</v>
      </c>
      <c r="F791" s="2606">
        <f>'Part VI-Pro Forma'!F84</f>
        <v>428617.50344747957</v>
      </c>
      <c r="G791" s="2606">
        <f>'Part VI-Pro Forma'!G84</f>
        <v>437189.8535164292</v>
      </c>
      <c r="H791" s="2606">
        <f>'Part VI-Pro Forma'!H84</f>
        <v>445933.65058675775</v>
      </c>
      <c r="I791" s="2606">
        <f>'Part VI-Pro Forma'!I84</f>
        <v>454852.32359849289</v>
      </c>
      <c r="J791" s="2606">
        <f>'Part VI-Pro Forma'!J84</f>
        <v>463949.37007046287</v>
      </c>
      <c r="K791" s="2606">
        <f>'Part VI-Pro Forma'!K84</f>
        <v>473228.35747187206</v>
      </c>
    </row>
    <row r="792" spans="1:11">
      <c r="A792" s="357" t="s">
        <v>572</v>
      </c>
      <c r="B792" s="2606">
        <f>'Part VI-Pro Forma'!B85</f>
        <v>-293601.44230785983</v>
      </c>
      <c r="C792" s="2606">
        <f>'Part VI-Pro Forma'!C85</f>
        <v>-302409.48557709559</v>
      </c>
      <c r="D792" s="2606">
        <f>'Part VI-Pro Forma'!D85</f>
        <v>-311481.77014440845</v>
      </c>
      <c r="E792" s="2606">
        <f>'Part VI-Pro Forma'!E85</f>
        <v>-320826.22324874072</v>
      </c>
      <c r="F792" s="2606">
        <f>'Part VI-Pro Forma'!F85</f>
        <v>-330451.00994620292</v>
      </c>
      <c r="G792" s="2606">
        <f>'Part VI-Pro Forma'!G85</f>
        <v>-340364.54024458898</v>
      </c>
      <c r="H792" s="2606">
        <f>'Part VI-Pro Forma'!H85</f>
        <v>-350575.47645192675</v>
      </c>
      <c r="I792" s="2606">
        <f>'Part VI-Pro Forma'!I85</f>
        <v>-361092.74074548448</v>
      </c>
      <c r="J792" s="2606">
        <f>'Part VI-Pro Forma'!J85</f>
        <v>-371925.52296784904</v>
      </c>
      <c r="K792" s="2606">
        <f>'Part VI-Pro Forma'!K85</f>
        <v>-383083.28865688446</v>
      </c>
    </row>
    <row r="793" spans="1:11">
      <c r="A793" s="357" t="s">
        <v>1050</v>
      </c>
      <c r="B793" s="2606">
        <f>'Part VI-Pro Forma'!B86</f>
        <v>-33691</v>
      </c>
      <c r="C793" s="2606">
        <f>'Part VI-Pro Forma'!C86</f>
        <v>-34702</v>
      </c>
      <c r="D793" s="2606">
        <f>'Part VI-Pro Forma'!D86</f>
        <v>-35743</v>
      </c>
      <c r="E793" s="2606">
        <f>'Part VI-Pro Forma'!E86</f>
        <v>-36815</v>
      </c>
      <c r="F793" s="2606">
        <f>'Part VI-Pro Forma'!F86</f>
        <v>-37920</v>
      </c>
      <c r="G793" s="2606">
        <f>'Part VI-Pro Forma'!G86</f>
        <v>-39057</v>
      </c>
      <c r="H793" s="2606">
        <f>'Part VI-Pro Forma'!H86</f>
        <v>-40229</v>
      </c>
      <c r="I793" s="2606">
        <f>'Part VI-Pro Forma'!I86</f>
        <v>-41436</v>
      </c>
      <c r="J793" s="2606">
        <f>'Part VI-Pro Forma'!J86</f>
        <v>-42679</v>
      </c>
      <c r="K793" s="2606">
        <f>'Part VI-Pro Forma'!K86</f>
        <v>-43959</v>
      </c>
    </row>
    <row r="794" spans="1:11">
      <c r="A794" s="357" t="s">
        <v>1128</v>
      </c>
      <c r="B794" s="2606">
        <f>'Part VI-Pro Forma'!B87</f>
        <v>-18061.112346694132</v>
      </c>
      <c r="C794" s="2606">
        <f>'Part VI-Pro Forma'!C87</f>
        <v>-18602.945717094954</v>
      </c>
      <c r="D794" s="2606">
        <f>'Part VI-Pro Forma'!D87</f>
        <v>-19161.034088607805</v>
      </c>
      <c r="E794" s="2606">
        <f>'Part VI-Pro Forma'!E87</f>
        <v>-19735.865111266041</v>
      </c>
      <c r="F794" s="2606">
        <f>'Part VI-Pro Forma'!F87</f>
        <v>-20327.94106460402</v>
      </c>
      <c r="G794" s="2606">
        <f>'Part VI-Pro Forma'!G87</f>
        <v>-20937.779296542139</v>
      </c>
      <c r="H794" s="2606">
        <f>'Part VI-Pro Forma'!H87</f>
        <v>-21565.912675438405</v>
      </c>
      <c r="I794" s="2606">
        <f>'Part VI-Pro Forma'!I87</f>
        <v>-22212.890055701555</v>
      </c>
      <c r="J794" s="2606">
        <f>'Part VI-Pro Forma'!J87</f>
        <v>-22879.276757372601</v>
      </c>
      <c r="K794" s="2606">
        <f>'Part VI-Pro Forma'!K87</f>
        <v>-23565.655060093777</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50622.765420303826</v>
      </c>
      <c r="C796" s="2606">
        <f t="shared" si="395"/>
        <v>48181.415182164325</v>
      </c>
      <c r="D796" s="2606">
        <f t="shared" si="395"/>
        <v>45587.95917286574</v>
      </c>
      <c r="E796" s="2606">
        <f t="shared" si="395"/>
        <v>42836.150313992854</v>
      </c>
      <c r="F796" s="2606">
        <f t="shared" si="395"/>
        <v>39918.552436672631</v>
      </c>
      <c r="G796" s="2606">
        <f t="shared" si="395"/>
        <v>36830.53397529808</v>
      </c>
      <c r="H796" s="2606">
        <f t="shared" si="395"/>
        <v>33563.261459392597</v>
      </c>
      <c r="I796" s="2606">
        <f t="shared" si="395"/>
        <v>30110.692797306856</v>
      </c>
      <c r="J796" s="2606">
        <f t="shared" si="395"/>
        <v>26465.570345241227</v>
      </c>
      <c r="K796" s="2606">
        <f t="shared" si="395"/>
        <v>22620.413754893831</v>
      </c>
    </row>
    <row r="797" spans="1:11">
      <c r="A797" s="357" t="str">
        <f>$A765</f>
        <v>Mortgage A</v>
      </c>
      <c r="B797" s="2606">
        <f>'Part VI-Pro Forma'!B90</f>
        <v>-49156.163650470116</v>
      </c>
      <c r="C797" s="2606">
        <f>'Part VI-Pro Forma'!C90</f>
        <v>-49156.163650470116</v>
      </c>
      <c r="D797" s="2606">
        <f>'Part VI-Pro Forma'!D90</f>
        <v>-49156.163650470116</v>
      </c>
      <c r="E797" s="2606">
        <f>'Part VI-Pro Forma'!E90</f>
        <v>-49156.163650470116</v>
      </c>
      <c r="F797" s="2606">
        <f>'Part VI-Pro Forma'!F90</f>
        <v>-49156.163650470116</v>
      </c>
      <c r="G797" s="2606">
        <f>'Part VI-Pro Forma'!G90</f>
        <v>-49156.163650470116</v>
      </c>
      <c r="H797" s="2606">
        <f>'Part VI-Pro Forma'!H90</f>
        <v>-49156.163650470116</v>
      </c>
      <c r="I797" s="2606">
        <f>'Part VI-Pro Forma'!I90</f>
        <v>-49156.163650470116</v>
      </c>
      <c r="J797" s="2606">
        <f>'Part VI-Pro Forma'!J90</f>
        <v>-49156.163650470116</v>
      </c>
      <c r="K797" s="2606">
        <f>'Part VI-Pro Forma'!K90</f>
        <v>-49156.163650470116</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1466.6017698337091</v>
      </c>
      <c r="C803" s="2606">
        <f t="shared" si="396"/>
        <v>-974.7484683057919</v>
      </c>
      <c r="D803" s="2606">
        <f t="shared" si="396"/>
        <v>-3568.2044776043767</v>
      </c>
      <c r="E803" s="2606">
        <f t="shared" si="396"/>
        <v>-6320.0133364772628</v>
      </c>
      <c r="F803" s="2606">
        <f t="shared" si="396"/>
        <v>-9237.6112137974851</v>
      </c>
      <c r="G803" s="2606">
        <f t="shared" si="396"/>
        <v>-12325.629675172037</v>
      </c>
      <c r="H803" s="2606">
        <f t="shared" si="396"/>
        <v>-15592.902191077519</v>
      </c>
      <c r="I803" s="2606">
        <f t="shared" si="396"/>
        <v>-19045.47085316326</v>
      </c>
      <c r="J803" s="2606">
        <f t="shared" si="396"/>
        <v>-22690.593305228889</v>
      </c>
      <c r="K803" s="2606">
        <f t="shared" si="396"/>
        <v>-26535.749895576286</v>
      </c>
    </row>
    <row r="804" spans="1:11">
      <c r="A804" s="357" t="str">
        <f>$A773</f>
        <v>DCR Mortgage A</v>
      </c>
      <c r="B804" s="2607">
        <f t="shared" ref="B804:K804" si="397">IF(B797=0,"",-B796/B797)</f>
        <v>1.0298355620316941</v>
      </c>
      <c r="C804" s="2607">
        <f t="shared" si="397"/>
        <v>0.98017037140577445</v>
      </c>
      <c r="D804" s="2607">
        <f t="shared" si="397"/>
        <v>0.92741084306382293</v>
      </c>
      <c r="E804" s="2607">
        <f t="shared" si="397"/>
        <v>0.87142989063555976</v>
      </c>
      <c r="F804" s="2607">
        <f t="shared" si="397"/>
        <v>0.81207623769254134</v>
      </c>
      <c r="G804" s="2607">
        <f t="shared" si="397"/>
        <v>0.74925566277273636</v>
      </c>
      <c r="H804" s="2607">
        <f t="shared" si="397"/>
        <v>0.68278846368173829</v>
      </c>
      <c r="I804" s="2607">
        <f t="shared" si="397"/>
        <v>0.61255172416244663</v>
      </c>
      <c r="J804" s="2607">
        <f t="shared" si="397"/>
        <v>0.53839779958068634</v>
      </c>
      <c r="K804" s="2607">
        <f t="shared" si="397"/>
        <v>0.46017451475136617</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1.0298355620316941</v>
      </c>
      <c r="C808" s="2607">
        <f t="shared" si="401"/>
        <v>0.98017037140577445</v>
      </c>
      <c r="D808" s="2607">
        <f t="shared" si="401"/>
        <v>0.92741084306382293</v>
      </c>
      <c r="E808" s="2607">
        <f t="shared" si="401"/>
        <v>0.87142989063555976</v>
      </c>
      <c r="F808" s="2607">
        <f t="shared" si="401"/>
        <v>0.81207623769254134</v>
      </c>
      <c r="G808" s="2607">
        <f t="shared" si="401"/>
        <v>0.74925566277273636</v>
      </c>
      <c r="H808" s="2607">
        <f t="shared" si="401"/>
        <v>0.68278846368173829</v>
      </c>
      <c r="I808" s="2607">
        <f t="shared" si="401"/>
        <v>0.61255172416244663</v>
      </c>
      <c r="J808" s="2607">
        <f t="shared" si="401"/>
        <v>0.53839779958068634</v>
      </c>
      <c r="K808" s="2607">
        <f t="shared" si="401"/>
        <v>0.46017451475136617</v>
      </c>
    </row>
    <row r="809" spans="1:11">
      <c r="A809" s="357" t="s">
        <v>718</v>
      </c>
      <c r="B809" s="2608">
        <f>IF(OR(B793="Choose mgt fee",B793="Choose One!"),"",(B786+B787+B788+B789+B790) / -(B792+B793+B794))</f>
        <v>1.1465824362831307</v>
      </c>
      <c r="C809" s="2608">
        <f t="shared" ref="C809:K809" si="402">IF(OR(C793="Choose mgt fee",C793="Choose One!"),"",(C786+C787+C788+C789+C790) / -(C792+C793+C794))</f>
        <v>1.1354497061220334</v>
      </c>
      <c r="D809" s="2608">
        <f t="shared" si="402"/>
        <v>1.1244261067054673</v>
      </c>
      <c r="E809" s="2608">
        <f t="shared" si="402"/>
        <v>1.1135102040777007</v>
      </c>
      <c r="F809" s="2608">
        <f t="shared" si="402"/>
        <v>1.1026978651032242</v>
      </c>
      <c r="G809" s="2608">
        <f t="shared" si="402"/>
        <v>1.0919936971056676</v>
      </c>
      <c r="H809" s="2608">
        <f t="shared" si="402"/>
        <v>1.0813910560610749</v>
      </c>
      <c r="I809" s="2608">
        <f t="shared" si="402"/>
        <v>1.0708917860029623</v>
      </c>
      <c r="J809" s="2608">
        <f t="shared" si="402"/>
        <v>1.0604949722980919</v>
      </c>
      <c r="K809" s="2608">
        <f t="shared" si="402"/>
        <v>1.0501997669377561</v>
      </c>
    </row>
    <row r="810" spans="1:11">
      <c r="A810" s="357" t="s">
        <v>2405</v>
      </c>
      <c r="B810" s="2606">
        <f>'Part VI-Pro Forma'!B103</f>
        <v>613316.23270507064</v>
      </c>
      <c r="C810" s="2606">
        <f>'Part VI-Pro Forma'!C103</f>
        <v>606888.58354526432</v>
      </c>
      <c r="D810" s="2606">
        <f>'Part VI-Pro Forma'!D103</f>
        <v>599996.2791079802</v>
      </c>
      <c r="E810" s="2606">
        <f>'Part VI-Pro Forma'!E103</f>
        <v>592605.72942563891</v>
      </c>
      <c r="F810" s="2606">
        <f>'Part VI-Pro Forma'!F103</f>
        <v>584680.91630918917</v>
      </c>
      <c r="G810" s="2606">
        <f>'Part VI-Pro Forma'!G103</f>
        <v>576183.21781178075</v>
      </c>
      <c r="H810" s="2606">
        <f>'Part VI-Pro Forma'!H103</f>
        <v>567071.22000290279</v>
      </c>
      <c r="I810" s="2606">
        <f>'Part VI-Pro Forma'!I103</f>
        <v>557300.51513565914</v>
      </c>
      <c r="J810" s="2606">
        <f>'Part VI-Pro Forma'!J103</f>
        <v>546823.4852235401</v>
      </c>
      <c r="K810" s="2606">
        <f>'Part VI-Pro Forma'!K103</f>
        <v>535589.06997194071</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ht="13.15">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508847.69620631408</v>
      </c>
      <c r="C816" s="2606">
        <f>'Part VI-Pro Forma'!C109</f>
        <v>519024.65013044019</v>
      </c>
      <c r="D816" s="2606">
        <f>'Part VI-Pro Forma'!D109</f>
        <v>529405.14313304913</v>
      </c>
      <c r="E816" s="2606">
        <f>'Part VI-Pro Forma'!E109</f>
        <v>539993.24599571014</v>
      </c>
      <c r="F816" s="2606">
        <f>'Part VI-Pro Forma'!F109</f>
        <v>550793.1109156243</v>
      </c>
      <c r="G816" s="2606"/>
      <c r="H816" s="2606"/>
      <c r="I816" s="2606"/>
      <c r="J816" s="2606"/>
      <c r="K816" s="2606"/>
    </row>
    <row r="817" spans="1:11">
      <c r="A817" s="357" t="s">
        <v>952</v>
      </c>
      <c r="B817" s="2606">
        <f>'Part VI-Pro Forma'!B110</f>
        <v>10176.953924126283</v>
      </c>
      <c r="C817" s="2606">
        <f>'Part VI-Pro Forma'!C110</f>
        <v>10380.493002608806</v>
      </c>
      <c r="D817" s="2606">
        <f>'Part VI-Pro Forma'!D110</f>
        <v>10588.102862660984</v>
      </c>
      <c r="E817" s="2606">
        <f>'Part VI-Pro Forma'!E110</f>
        <v>10799.864919914204</v>
      </c>
      <c r="F817" s="2606">
        <f>'Part VI-Pro Forma'!F110</f>
        <v>11015.862218312486</v>
      </c>
      <c r="G817" s="2606"/>
      <c r="H817" s="2606"/>
      <c r="I817" s="2606"/>
      <c r="J817" s="2606"/>
      <c r="K817" s="2606"/>
    </row>
    <row r="818" spans="1:11">
      <c r="A818" s="357" t="s">
        <v>2216</v>
      </c>
      <c r="B818" s="2606">
        <f>'Part VI-Pro Forma'!B111</f>
        <v>-36331.725509130833</v>
      </c>
      <c r="C818" s="2606">
        <f>'Part VI-Pro Forma'!C111</f>
        <v>-37058.360019313433</v>
      </c>
      <c r="D818" s="2606">
        <f>'Part VI-Pro Forma'!D111</f>
        <v>-37799.52721969971</v>
      </c>
      <c r="E818" s="2606">
        <f>'Part VI-Pro Forma'!E111</f>
        <v>-38555.517764093704</v>
      </c>
      <c r="F818" s="2606">
        <f>'Part VI-Pro Forma'!F111</f>
        <v>-39326.628119375579</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482692.9246213095</v>
      </c>
      <c r="C821" s="2606">
        <f>'Part VI-Pro Forma'!C114</f>
        <v>492346.78311373561</v>
      </c>
      <c r="D821" s="2606">
        <f>'Part VI-Pro Forma'!D114</f>
        <v>502193.71877601044</v>
      </c>
      <c r="E821" s="2606">
        <f>'Part VI-Pro Forma'!E114</f>
        <v>512237.5931515306</v>
      </c>
      <c r="F821" s="2606">
        <f>'Part VI-Pro Forma'!F114</f>
        <v>522482.3450145612</v>
      </c>
      <c r="G821" s="2606"/>
      <c r="H821" s="2606"/>
      <c r="I821" s="2606"/>
      <c r="J821" s="2606"/>
      <c r="K821" s="2606"/>
    </row>
    <row r="822" spans="1:11">
      <c r="A822" s="357" t="s">
        <v>572</v>
      </c>
      <c r="B822" s="2606">
        <f>'Part VI-Pro Forma'!B115</f>
        <v>-394575.78731659096</v>
      </c>
      <c r="C822" s="2606">
        <f>'Part VI-Pro Forma'!C115</f>
        <v>-406413.06093608879</v>
      </c>
      <c r="D822" s="2606">
        <f>'Part VI-Pro Forma'!D115</f>
        <v>-418605.45276417135</v>
      </c>
      <c r="E822" s="2606">
        <f>'Part VI-Pro Forma'!E115</f>
        <v>-431163.61634709651</v>
      </c>
      <c r="F822" s="2606">
        <f>'Part VI-Pro Forma'!F115</f>
        <v>-444098.52483750932</v>
      </c>
      <c r="G822" s="2606"/>
      <c r="H822" s="2606"/>
      <c r="I822" s="2606"/>
      <c r="J822" s="2606"/>
      <c r="K822" s="2606"/>
    </row>
    <row r="823" spans="1:11">
      <c r="A823" s="357" t="s">
        <v>1050</v>
      </c>
      <c r="B823" s="2606">
        <f>'Part VI-Pro Forma'!B116</f>
        <v>-45278</v>
      </c>
      <c r="C823" s="2606">
        <f>'Part VI-Pro Forma'!C116</f>
        <v>-46636</v>
      </c>
      <c r="D823" s="2606">
        <f>'Part VI-Pro Forma'!D116</f>
        <v>-48036</v>
      </c>
      <c r="E823" s="2606">
        <f>'Part VI-Pro Forma'!E116</f>
        <v>-49477</v>
      </c>
      <c r="F823" s="2606">
        <f>'Part VI-Pro Forma'!F116</f>
        <v>-50961</v>
      </c>
      <c r="G823" s="2606"/>
      <c r="H823" s="2606"/>
      <c r="I823" s="2606"/>
      <c r="J823" s="2606"/>
      <c r="K823" s="2606"/>
    </row>
    <row r="824" spans="1:11">
      <c r="A824" s="357" t="s">
        <v>1128</v>
      </c>
      <c r="B824" s="2606">
        <f>'Part VI-Pro Forma'!B117</f>
        <v>-24272.624711896591</v>
      </c>
      <c r="C824" s="2606">
        <f>'Part VI-Pro Forma'!C117</f>
        <v>-25000.803453253491</v>
      </c>
      <c r="D824" s="2606">
        <f>'Part VI-Pro Forma'!D117</f>
        <v>-25750.827556851091</v>
      </c>
      <c r="E824" s="2606">
        <f>'Part VI-Pro Forma'!E117</f>
        <v>-26523.352383556627</v>
      </c>
      <c r="F824" s="2606">
        <f>'Part VI-Pro Forma'!F117</f>
        <v>-27319.052955063322</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18566.512592821957</v>
      </c>
      <c r="C826" s="2606">
        <f>SUM(C821:C825)</f>
        <v>14296.91872439333</v>
      </c>
      <c r="D826" s="2606">
        <f>SUM(D821:D825)</f>
        <v>9801.4384549880015</v>
      </c>
      <c r="E826" s="2606">
        <f>SUM(E821:E825)</f>
        <v>5073.6244208774624</v>
      </c>
      <c r="F826" s="2606">
        <f>SUM(F821:F825)</f>
        <v>103.76722198855714</v>
      </c>
      <c r="G826" s="2606"/>
      <c r="H826" s="2606"/>
      <c r="I826" s="2606"/>
      <c r="J826" s="2606"/>
      <c r="K826" s="2606"/>
    </row>
    <row r="827" spans="1:11">
      <c r="A827" s="357" t="str">
        <f>$A797</f>
        <v>Mortgage A</v>
      </c>
      <c r="B827" s="2606">
        <f>'Part VI-Pro Forma'!B120</f>
        <v>-49156.163650470116</v>
      </c>
      <c r="C827" s="2606">
        <f>'Part VI-Pro Forma'!C120</f>
        <v>-49156.163650470116</v>
      </c>
      <c r="D827" s="2606">
        <f>'Part VI-Pro Forma'!D120</f>
        <v>-49156.163650470116</v>
      </c>
      <c r="E827" s="2606">
        <f>'Part VI-Pro Forma'!E120</f>
        <v>-49156.163650470116</v>
      </c>
      <c r="F827" s="2606">
        <f>'Part VI-Pro Forma'!F120</f>
        <v>-49156.163650470116</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-30589.65105764816</v>
      </c>
      <c r="C833" s="2606">
        <f>SUM(C826:C832)</f>
        <v>-34859.24492607679</v>
      </c>
      <c r="D833" s="2606">
        <f>SUM(D826:D832)</f>
        <v>-39354.725195482111</v>
      </c>
      <c r="E833" s="2606">
        <f>SUM(E826:E832)</f>
        <v>-44082.539229592658</v>
      </c>
      <c r="F833" s="2606">
        <f>SUM(F826:F832)</f>
        <v>-49052.396428481559</v>
      </c>
      <c r="G833" s="2606"/>
      <c r="H833" s="2606"/>
      <c r="I833" s="2606"/>
      <c r="J833" s="2606"/>
      <c r="K833" s="2606"/>
    </row>
    <row r="834" spans="1:11">
      <c r="A834" s="357" t="str">
        <f>$A804</f>
        <v>DCR Mortgage A</v>
      </c>
      <c r="B834" s="2607">
        <f>IF(B827=0,"",-B826/B827)</f>
        <v>0.37770467046291539</v>
      </c>
      <c r="C834" s="2607">
        <f>IF(C827=0,"",-C826/C827)</f>
        <v>0.29084691852791889</v>
      </c>
      <c r="D834" s="2607">
        <f>IF(D827=0,"",-D826/D827)</f>
        <v>0.19939388526497151</v>
      </c>
      <c r="E834" s="2607">
        <f>IF(E827=0,"",-E826/E827)</f>
        <v>0.10321440983381013</v>
      </c>
      <c r="F834" s="2607">
        <f>IF(F827=0,"",-F826/F827)</f>
        <v>2.1109707162341733E-3</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0.37770467046291539</v>
      </c>
      <c r="C838" s="2607">
        <f>IF(AND(C827=0,C828=0,C829=0,C830=0),"",-C826/(C827+C828+C829+C830))</f>
        <v>0.29084691852791889</v>
      </c>
      <c r="D838" s="2607">
        <f>IF(AND(D827=0,D828=0,D829=0,D830=0),"",-D826/(D827+D828+D829+D830))</f>
        <v>0.19939388526497151</v>
      </c>
      <c r="E838" s="2607">
        <f>IF(AND(E827=0,E828=0,E829=0,E830=0),"",-E826/(E827+E828+E829+E830))</f>
        <v>0.10321440983381013</v>
      </c>
      <c r="F838" s="2607">
        <f>IF(AND(F827=0,F828=0,F829=0,F830=0),"",-F826/(F827+F828+F829+F830))</f>
        <v>2.1109707162341733E-3</v>
      </c>
      <c r="G838" s="2606"/>
      <c r="H838" s="2606"/>
      <c r="I838" s="2606"/>
      <c r="J838" s="2606"/>
      <c r="K838" s="2606"/>
    </row>
    <row r="839" spans="1:11">
      <c r="A839" s="357" t="s">
        <v>718</v>
      </c>
      <c r="B839" s="2608">
        <f>IF(OR(B823="Choose mgt fee",B823="Choose One!"),"",(B816+B817+B818+B819+B820) / -(B822+B823+B824))</f>
        <v>1.0400031373169998</v>
      </c>
      <c r="C839" s="2608">
        <f>IF(OR(C823="Choose mgt fee",C823="Choose One!"),"",(C816+C817+C818+C819+C820) / -(C822+C823+C824))</f>
        <v>1.0299067519716927</v>
      </c>
      <c r="D839" s="2608">
        <f>IF(OR(D823="Choose mgt fee",D823="Choose One!"),"",(D816+D817+D818+D819+D820) / -(D822+D823+D824))</f>
        <v>1.0199057516673451</v>
      </c>
      <c r="E839" s="2608">
        <f>IF(OR(E823="Choose mgt fee",E823="Choose One!"),"",(E816+E817+E818+E819+E820) / -(E822+E823+E824))</f>
        <v>1.0100039133962453</v>
      </c>
      <c r="F839" s="2608">
        <f>IF(OR(F823="Choose mgt fee",F823="Choose One!"),"",(F816+F817+F818+F819+F820) / -(F822+F823+F824))</f>
        <v>1.0001986437162622</v>
      </c>
      <c r="G839" s="2606"/>
      <c r="H839" s="2606"/>
      <c r="I839" s="2606"/>
      <c r="J839" s="2606"/>
      <c r="K839" s="2606"/>
    </row>
    <row r="840" spans="1:11">
      <c r="A840" s="357" t="s">
        <v>2405</v>
      </c>
      <c r="B840" s="2606">
        <f>'Part VI-Pro Forma'!B133</f>
        <v>523542.51793343073</v>
      </c>
      <c r="C840" s="2606">
        <f>'Part VI-Pro Forma'!C133</f>
        <v>510625.119674018</v>
      </c>
      <c r="D840" s="2606">
        <f>'Part VI-Pro Forma'!D133</f>
        <v>496773.92164998013</v>
      </c>
      <c r="E840" s="2606">
        <f>'Part VI-Pro Forma'!E133</f>
        <v>481921.41940082877</v>
      </c>
      <c r="F840" s="2606">
        <f>'Part VI-Pro Forma'!F133</f>
        <v>465995.22856316878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ht="13.15">
      <c r="A845" s="361" t="s">
        <v>529</v>
      </c>
      <c r="B845" s="361"/>
      <c r="G845" s="361" t="s">
        <v>967</v>
      </c>
    </row>
    <row r="846" spans="1:11" ht="13.15">
      <c r="B846" s="361"/>
    </row>
    <row r="847" spans="1:11" ht="13.5" customHeight="1">
      <c r="A847" s="2639" t="str">
        <f>'Part VI-Pro Forma'!A140</f>
        <v>The Year 1 DSC is 1.53 which is required to remain above the lender required 1.20 DSC throughout the 17 year term of the loan. Debt service is consistent with underwriting from the proposed Permanent Lender and does not deviate throughout the loan period.
     Asset management fees are required to increase by 3% annually.</v>
      </c>
      <c r="B847" s="2639"/>
      <c r="C847" s="2639"/>
      <c r="D847" s="2639"/>
      <c r="E847" s="2639"/>
      <c r="F847" s="2639"/>
      <c r="G847" s="2639">
        <f>'Part VI-Pro Forma'!G140</f>
        <v>0</v>
      </c>
      <c r="H847" s="2639"/>
      <c r="I847" s="2639"/>
      <c r="J847" s="2639"/>
      <c r="K847" s="2639"/>
    </row>
    <row r="852" spans="1:17" ht="13.15">
      <c r="A852" s="2847" t="str">
        <f>CONCATENATE("PART SEVEN - THRESHOLD CRITERIA","  -  ",'Part I-Project Identification'!$O$7," ",'Part I-Project Identification'!$F$25,", ",'Part I-Project Identification'!F881,", ",'Part I-Project Identification'!J881," County")</f>
        <v>PART SEVEN - THRESHOLD CRITERIA  -  2023-0 Dogwood Trail Apartments II,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ht="13.15">
      <c r="A855" s="2851"/>
      <c r="B855" s="2849"/>
      <c r="C855" s="2849"/>
      <c r="D855" s="2849"/>
      <c r="E855" s="2851"/>
      <c r="F855" s="2851"/>
      <c r="G855" s="2851"/>
      <c r="H855" s="2851"/>
      <c r="I855" s="2848"/>
      <c r="J855" s="2847"/>
      <c r="K855" s="2851"/>
      <c r="L855" s="2851"/>
      <c r="M855" s="2851"/>
      <c r="N855" s="2851"/>
      <c r="O855" s="2848"/>
      <c r="P855" s="2850"/>
      <c r="Q855" s="2850"/>
    </row>
    <row r="856" spans="1:17" ht="13.15">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ht="13.15">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ht="13.15">
      <c r="A859" s="2848"/>
      <c r="B859" s="2848"/>
      <c r="C859" s="2848"/>
      <c r="D859" s="2848"/>
      <c r="E859" s="2853"/>
      <c r="F859" s="2853"/>
      <c r="G859" s="2853"/>
      <c r="H859" s="2853"/>
      <c r="I859" s="2853"/>
      <c r="J859" s="2847"/>
      <c r="K859" s="2848"/>
      <c r="L859" s="2854"/>
      <c r="M859" s="2847"/>
      <c r="N859" s="2851"/>
      <c r="O859" s="2848"/>
      <c r="P859" s="2855"/>
      <c r="Q859" s="2855"/>
    </row>
    <row r="860" spans="1:17" ht="13.9">
      <c r="A860" s="2857" t="s">
        <v>6994</v>
      </c>
      <c r="B860" s="2858"/>
      <c r="C860" s="2858"/>
      <c r="D860" s="2858"/>
      <c r="E860" s="2858"/>
      <c r="F860" s="2858"/>
      <c r="G860" s="2858"/>
      <c r="H860" s="2858"/>
      <c r="I860" s="2859"/>
      <c r="J860" s="2859"/>
      <c r="K860" s="2860"/>
      <c r="L860" s="2860"/>
      <c r="M860" s="2860"/>
      <c r="N860" s="2860"/>
      <c r="O860" s="2860"/>
      <c r="P860" s="2859"/>
      <c r="Q860" s="2859"/>
    </row>
    <row r="861" spans="1:17" ht="13.9">
      <c r="A861" s="2861" t="s">
        <v>3066</v>
      </c>
      <c r="B861" s="2858"/>
      <c r="C861" s="2858"/>
      <c r="D861" s="2858"/>
      <c r="E861" s="2858"/>
      <c r="F861" s="2858"/>
      <c r="G861" s="2858"/>
      <c r="H861" s="2106"/>
      <c r="I861" s="2859"/>
      <c r="J861" s="2859"/>
      <c r="K861" s="2106"/>
      <c r="L861" s="2106"/>
      <c r="M861" s="2109"/>
      <c r="N861" s="2109"/>
      <c r="O861" s="2858"/>
      <c r="P861" s="2858"/>
      <c r="Q861" s="2858"/>
    </row>
    <row r="862" spans="1:17" ht="13.5">
      <c r="A862" s="2862" t="s">
        <v>1329</v>
      </c>
      <c r="B862" s="2862"/>
      <c r="C862" s="2862"/>
      <c r="D862" s="2862"/>
      <c r="E862" s="2862"/>
      <c r="F862" s="2862"/>
      <c r="G862" s="2862"/>
      <c r="H862" s="2862"/>
      <c r="I862" s="2862"/>
      <c r="J862" s="2862"/>
      <c r="K862" s="2862"/>
      <c r="L862" s="2862"/>
      <c r="M862" s="2862"/>
      <c r="N862" s="2862"/>
      <c r="O862" s="2862"/>
      <c r="P862" s="2862"/>
      <c r="Q862" s="2862"/>
    </row>
    <row r="863" spans="1:17" ht="13.5">
      <c r="A863" s="2862" t="s">
        <v>218</v>
      </c>
      <c r="B863" s="2862"/>
      <c r="C863" s="2862"/>
      <c r="D863" s="2862"/>
      <c r="E863" s="2862"/>
      <c r="F863" s="2862"/>
      <c r="G863" s="2862"/>
      <c r="H863" s="2862"/>
      <c r="I863" s="2862"/>
      <c r="J863" s="2862"/>
      <c r="K863" s="2862"/>
      <c r="L863" s="2862"/>
      <c r="M863" s="2862"/>
      <c r="N863" s="2862"/>
      <c r="O863" s="2862"/>
      <c r="P863" s="2862"/>
      <c r="Q863" s="2862"/>
    </row>
    <row r="864" spans="1:17" ht="13.5">
      <c r="A864" s="2862" t="s">
        <v>1325</v>
      </c>
      <c r="B864" s="2862"/>
      <c r="C864" s="2862"/>
      <c r="D864" s="2862"/>
      <c r="E864" s="2862"/>
      <c r="F864" s="2862"/>
      <c r="G864" s="2862"/>
      <c r="H864" s="2862"/>
      <c r="I864" s="2862"/>
      <c r="J864" s="2862"/>
      <c r="K864" s="2862"/>
      <c r="L864" s="2862"/>
      <c r="M864" s="2862"/>
      <c r="N864" s="2862"/>
      <c r="O864" s="2862"/>
      <c r="P864" s="2862"/>
      <c r="Q864" s="2862"/>
    </row>
    <row r="865" spans="1:17" ht="13.5">
      <c r="A865" s="2862" t="s">
        <v>1326</v>
      </c>
      <c r="B865" s="2862"/>
      <c r="C865" s="2862"/>
      <c r="D865" s="2862"/>
      <c r="E865" s="2862"/>
      <c r="F865" s="2862"/>
      <c r="G865" s="2862"/>
      <c r="H865" s="2862"/>
      <c r="I865" s="2862"/>
      <c r="J865" s="2862"/>
      <c r="K865" s="2862"/>
      <c r="L865" s="2862"/>
      <c r="M865" s="2862"/>
      <c r="N865" s="2862"/>
      <c r="O865" s="2862"/>
      <c r="P865" s="2862"/>
      <c r="Q865" s="2862"/>
    </row>
    <row r="866" spans="1:17" ht="13.5">
      <c r="A866" s="2862" t="s">
        <v>1327</v>
      </c>
      <c r="B866" s="2862"/>
      <c r="C866" s="2862"/>
      <c r="D866" s="2862"/>
      <c r="E866" s="2862"/>
      <c r="F866" s="2862"/>
      <c r="G866" s="2862"/>
      <c r="H866" s="2862"/>
      <c r="I866" s="2862"/>
      <c r="J866" s="2862"/>
      <c r="K866" s="2862"/>
      <c r="L866" s="2862"/>
      <c r="M866" s="2862"/>
      <c r="N866" s="2862"/>
      <c r="O866" s="2862"/>
      <c r="P866" s="2862"/>
      <c r="Q866" s="2862"/>
    </row>
    <row r="867" spans="1:17" ht="13.5">
      <c r="A867" s="2862" t="s">
        <v>1328</v>
      </c>
      <c r="B867" s="2862"/>
      <c r="C867" s="2862"/>
      <c r="D867" s="2862"/>
      <c r="E867" s="2862"/>
      <c r="F867" s="2862"/>
      <c r="G867" s="2862"/>
      <c r="H867" s="2862"/>
      <c r="I867" s="2862"/>
      <c r="J867" s="2862"/>
      <c r="K867" s="2862"/>
      <c r="L867" s="2862"/>
      <c r="M867" s="2862"/>
      <c r="N867" s="2862"/>
      <c r="O867" s="2862"/>
      <c r="P867" s="2862"/>
      <c r="Q867" s="2862"/>
    </row>
    <row r="868" spans="1:17" ht="13.5">
      <c r="A868" s="2862" t="s">
        <v>1330</v>
      </c>
      <c r="B868" s="2862"/>
      <c r="C868" s="2862"/>
      <c r="D868" s="2862"/>
      <c r="E868" s="2862"/>
      <c r="F868" s="2862"/>
      <c r="G868" s="2862"/>
      <c r="H868" s="2862"/>
      <c r="I868" s="2862"/>
      <c r="J868" s="2862"/>
      <c r="K868" s="2862"/>
      <c r="L868" s="2862"/>
      <c r="M868" s="2862"/>
      <c r="N868" s="2862"/>
      <c r="O868" s="2862"/>
      <c r="P868" s="2862"/>
      <c r="Q868" s="2862"/>
    </row>
    <row r="869" spans="1:17" ht="13.5">
      <c r="A869" s="2862" t="s">
        <v>1872</v>
      </c>
      <c r="B869" s="2862"/>
      <c r="C869" s="2862"/>
      <c r="D869" s="2862"/>
      <c r="E869" s="2862"/>
      <c r="F869" s="2862"/>
      <c r="G869" s="2862"/>
      <c r="H869" s="2862"/>
      <c r="I869" s="2862"/>
      <c r="J869" s="2862"/>
      <c r="K869" s="2862"/>
      <c r="L869" s="2862"/>
      <c r="M869" s="2862"/>
      <c r="N869" s="2862"/>
      <c r="O869" s="2862"/>
      <c r="P869" s="2862"/>
      <c r="Q869" s="2862"/>
    </row>
    <row r="870" spans="1:17" ht="13.5">
      <c r="A870" s="2862" t="s">
        <v>1873</v>
      </c>
      <c r="B870" s="2862"/>
      <c r="C870" s="2862"/>
      <c r="D870" s="2862"/>
      <c r="E870" s="2862"/>
      <c r="F870" s="2862"/>
      <c r="G870" s="2862"/>
      <c r="H870" s="2862"/>
      <c r="I870" s="2862"/>
      <c r="J870" s="2862"/>
      <c r="K870" s="2862"/>
      <c r="L870" s="2862"/>
      <c r="M870" s="2862"/>
      <c r="N870" s="2862"/>
      <c r="O870" s="2862"/>
      <c r="P870" s="2862"/>
      <c r="Q870" s="2862"/>
    </row>
    <row r="871" spans="1:17" ht="13.5">
      <c r="A871" s="2862" t="s">
        <v>1874</v>
      </c>
      <c r="B871" s="2862"/>
      <c r="C871" s="2862"/>
      <c r="D871" s="2862"/>
      <c r="E871" s="2862"/>
      <c r="F871" s="2862"/>
      <c r="G871" s="2862"/>
      <c r="H871" s="2862"/>
      <c r="I871" s="2862"/>
      <c r="J871" s="2862"/>
      <c r="K871" s="2862"/>
      <c r="L871" s="2862"/>
      <c r="M871" s="2862"/>
      <c r="N871" s="2862"/>
      <c r="O871" s="2862"/>
      <c r="P871" s="2862"/>
      <c r="Q871" s="2862"/>
    </row>
    <row r="872" spans="1:17" ht="13.5">
      <c r="A872" s="2862" t="s">
        <v>1875</v>
      </c>
      <c r="B872" s="2862"/>
      <c r="C872" s="2862"/>
      <c r="D872" s="2862"/>
      <c r="E872" s="2862"/>
      <c r="F872" s="2862"/>
      <c r="G872" s="2862"/>
      <c r="H872" s="2862"/>
      <c r="I872" s="2862"/>
      <c r="J872" s="2862"/>
      <c r="K872" s="2862"/>
      <c r="L872" s="2862"/>
      <c r="M872" s="2862"/>
      <c r="N872" s="2862"/>
      <c r="O872" s="2862"/>
      <c r="P872" s="2862"/>
      <c r="Q872" s="2862"/>
    </row>
    <row r="873" spans="1:17" ht="13.5">
      <c r="A873" s="2862" t="s">
        <v>1876</v>
      </c>
      <c r="B873" s="2862"/>
      <c r="C873" s="2862"/>
      <c r="D873" s="2862"/>
      <c r="E873" s="2862"/>
      <c r="F873" s="2862"/>
      <c r="G873" s="2862"/>
      <c r="H873" s="2862"/>
      <c r="I873" s="2862"/>
      <c r="J873" s="2862"/>
      <c r="K873" s="2862"/>
      <c r="L873" s="2862"/>
      <c r="M873" s="2862"/>
      <c r="N873" s="2862"/>
      <c r="O873" s="2862"/>
      <c r="P873" s="2862"/>
      <c r="Q873" s="2862"/>
    </row>
    <row r="874" spans="1:17" ht="13.5">
      <c r="A874" s="2862" t="s">
        <v>1877</v>
      </c>
      <c r="B874" s="2862"/>
      <c r="C874" s="2862"/>
      <c r="D874" s="2862"/>
      <c r="E874" s="2862"/>
      <c r="F874" s="2862"/>
      <c r="G874" s="2862"/>
      <c r="H874" s="2862"/>
      <c r="I874" s="2862"/>
      <c r="J874" s="2862"/>
      <c r="K874" s="2862"/>
      <c r="L874" s="2862"/>
      <c r="M874" s="2862"/>
      <c r="N874" s="2862"/>
      <c r="O874" s="2862"/>
      <c r="P874" s="2862"/>
      <c r="Q874" s="2862"/>
    </row>
    <row r="875" spans="1:17" ht="13.5">
      <c r="A875" s="2862" t="s">
        <v>1878</v>
      </c>
      <c r="B875" s="2862"/>
      <c r="C875" s="2862"/>
      <c r="D875" s="2862"/>
      <c r="E875" s="2862"/>
      <c r="F875" s="2862"/>
      <c r="G875" s="2862"/>
      <c r="H875" s="2862"/>
      <c r="I875" s="2862"/>
      <c r="J875" s="2862"/>
      <c r="K875" s="2862"/>
      <c r="L875" s="2862"/>
      <c r="M875" s="2862"/>
      <c r="N875" s="2862"/>
      <c r="O875" s="2862"/>
      <c r="P875" s="2862"/>
      <c r="Q875" s="2862"/>
    </row>
    <row r="876" spans="1:17" ht="13.5">
      <c r="A876" s="2862" t="s">
        <v>1879</v>
      </c>
      <c r="B876" s="2862"/>
      <c r="C876" s="2862"/>
      <c r="D876" s="2862"/>
      <c r="E876" s="2862"/>
      <c r="F876" s="2862"/>
      <c r="G876" s="2862"/>
      <c r="H876" s="2862"/>
      <c r="I876" s="2862"/>
      <c r="J876" s="2862"/>
      <c r="K876" s="2862"/>
      <c r="L876" s="2862"/>
      <c r="M876" s="2862"/>
      <c r="N876" s="2862"/>
      <c r="O876" s="2862"/>
      <c r="P876" s="2862"/>
      <c r="Q876" s="2862"/>
    </row>
    <row r="877" spans="1:17" ht="13.5">
      <c r="A877" s="2862" t="s">
        <v>1880</v>
      </c>
      <c r="B877" s="2862"/>
      <c r="C877" s="2862"/>
      <c r="D877" s="2862"/>
      <c r="E877" s="2862"/>
      <c r="F877" s="2862"/>
      <c r="G877" s="2862"/>
      <c r="H877" s="2862"/>
      <c r="I877" s="2862"/>
      <c r="J877" s="2862"/>
      <c r="K877" s="2862"/>
      <c r="L877" s="2862"/>
      <c r="M877" s="2862"/>
      <c r="N877" s="2862"/>
      <c r="O877" s="2862"/>
      <c r="P877" s="2862"/>
      <c r="Q877" s="2862"/>
    </row>
    <row r="878" spans="1:17" ht="13.5">
      <c r="A878" s="2862" t="s">
        <v>1881</v>
      </c>
      <c r="B878" s="2862"/>
      <c r="C878" s="2862"/>
      <c r="D878" s="2862"/>
      <c r="E878" s="2862"/>
      <c r="F878" s="2862"/>
      <c r="G878" s="2862"/>
      <c r="H878" s="2862"/>
      <c r="I878" s="2862"/>
      <c r="J878" s="2862"/>
      <c r="K878" s="2862"/>
      <c r="L878" s="2862"/>
      <c r="M878" s="2862"/>
      <c r="N878" s="2862"/>
      <c r="O878" s="2862"/>
      <c r="P878" s="2862"/>
      <c r="Q878" s="2862"/>
    </row>
    <row r="879" spans="1:17" ht="13.5">
      <c r="A879" s="2862" t="s">
        <v>1882</v>
      </c>
      <c r="B879" s="2862"/>
      <c r="C879" s="2862"/>
      <c r="D879" s="2862"/>
      <c r="E879" s="2862"/>
      <c r="F879" s="2862"/>
      <c r="G879" s="2862"/>
      <c r="H879" s="2862"/>
      <c r="I879" s="2862"/>
      <c r="J879" s="2862"/>
      <c r="K879" s="2862"/>
      <c r="L879" s="2862"/>
      <c r="M879" s="2862"/>
      <c r="N879" s="2862"/>
      <c r="O879" s="2862"/>
      <c r="P879" s="2862"/>
      <c r="Q879" s="2862"/>
    </row>
    <row r="880" spans="1:17" ht="13.5">
      <c r="A880" s="2858"/>
      <c r="B880" s="2858"/>
      <c r="C880" s="2858"/>
      <c r="D880" s="2858"/>
      <c r="E880" s="2858"/>
      <c r="F880" s="2858"/>
      <c r="G880" s="2858"/>
      <c r="H880" s="2858"/>
      <c r="I880" s="2858"/>
      <c r="J880" s="2858"/>
      <c r="K880" s="2858"/>
      <c r="L880" s="2858"/>
      <c r="M880" s="2858"/>
      <c r="N880" s="2858"/>
      <c r="O880" s="2858"/>
      <c r="P880" s="2858"/>
      <c r="Q880" s="2858"/>
    </row>
    <row r="881" spans="1:17" ht="13.5">
      <c r="A881" s="2858"/>
      <c r="B881" s="2858"/>
      <c r="C881" s="2858"/>
      <c r="D881" s="2858"/>
      <c r="E881" s="2858"/>
      <c r="F881" s="2858"/>
      <c r="G881" s="2858"/>
      <c r="H881" s="2858"/>
      <c r="I881" s="2858"/>
      <c r="J881" s="2858"/>
      <c r="K881" s="2858"/>
      <c r="L881" s="2858"/>
      <c r="M881" s="2858"/>
      <c r="N881" s="2858"/>
      <c r="O881" s="2858"/>
      <c r="P881" s="2858"/>
      <c r="Q881" s="2858"/>
    </row>
    <row r="882" spans="1:17" ht="13.9">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3.9">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proposed Dogwood Trail Apartments II meets DCA's Threshold requirements for feasibility, viability and conformance with the QAP. The permanent lender has offered an amortizing loan with a 17 year term and 35 year amortization. The project's permanent loan debt service coverage is above the required 1.20 for the 17 year term of the loan. The market study supports the demand for the project in an area covered by the East Albany Revitalization Plan that enjoys the full support of the City of Albany to improve the area.</v>
      </c>
      <c r="B884" s="2860"/>
      <c r="C884" s="2860"/>
      <c r="D884" s="2860"/>
      <c r="E884" s="2860"/>
      <c r="F884" s="2860"/>
      <c r="G884" s="2860"/>
      <c r="H884" s="2860"/>
      <c r="I884" s="2860"/>
      <c r="J884" s="2860"/>
      <c r="K884" s="2860"/>
      <c r="L884" s="2860"/>
      <c r="M884" s="2860"/>
      <c r="N884" s="2860"/>
      <c r="O884" s="2860"/>
      <c r="P884" s="2860"/>
      <c r="Q884" s="2860"/>
    </row>
    <row r="885" spans="1:17" ht="13.9">
      <c r="A885" s="2106"/>
      <c r="B885" s="2865" t="s">
        <v>1730</v>
      </c>
      <c r="C885" s="2866"/>
      <c r="D885" s="2867"/>
      <c r="E885" s="2867"/>
      <c r="F885" s="2867"/>
      <c r="G885" s="2867"/>
      <c r="H885" s="2867"/>
      <c r="I885" s="2867"/>
      <c r="J885" s="2867"/>
      <c r="K885" s="2867"/>
      <c r="L885" s="2867"/>
      <c r="M885" s="2867"/>
      <c r="N885" s="2867"/>
      <c r="O885" s="2867"/>
      <c r="P885" s="2867"/>
      <c r="Q885" s="2106"/>
    </row>
    <row r="886" spans="1:17" ht="13.5">
      <c r="A886" s="2860"/>
      <c r="B886" s="2860"/>
      <c r="C886" s="2860"/>
      <c r="D886" s="2860"/>
      <c r="E886" s="2860"/>
      <c r="F886" s="2860"/>
      <c r="G886" s="2860"/>
      <c r="H886" s="2860"/>
      <c r="I886" s="2860"/>
      <c r="J886" s="2860"/>
      <c r="K886" s="2860"/>
      <c r="L886" s="2860"/>
      <c r="M886" s="2860"/>
      <c r="N886" s="2860"/>
      <c r="O886" s="2860"/>
      <c r="P886" s="2860"/>
      <c r="Q886" s="2860"/>
    </row>
    <row r="887" spans="1:17" ht="13.9">
      <c r="A887" s="2106"/>
      <c r="B887" s="2108"/>
      <c r="C887" s="2867"/>
      <c r="D887" s="2867"/>
      <c r="E887" s="2867"/>
      <c r="F887" s="2867"/>
      <c r="G887" s="2867"/>
      <c r="H887" s="2867"/>
      <c r="I887" s="2867"/>
      <c r="J887" s="2867"/>
      <c r="K887" s="2867"/>
      <c r="L887" s="2867"/>
      <c r="M887" s="2867"/>
      <c r="N887" s="2867"/>
      <c r="O887" s="2867"/>
      <c r="P887" s="2867"/>
      <c r="Q887" s="2109"/>
    </row>
    <row r="888" spans="1:17" ht="13.9">
      <c r="A888" s="2106"/>
      <c r="B888" s="2108"/>
      <c r="C888" s="2867"/>
      <c r="D888" s="2867"/>
      <c r="E888" s="2867"/>
      <c r="F888" s="2867"/>
      <c r="G888" s="2867"/>
      <c r="H888" s="2867"/>
      <c r="I888" s="2867"/>
      <c r="J888" s="2867"/>
      <c r="K888" s="2867"/>
      <c r="L888" s="2867"/>
      <c r="M888" s="2867"/>
      <c r="N888" s="2867"/>
      <c r="O888" s="2867"/>
      <c r="P888" s="2867"/>
      <c r="Q888" s="2109"/>
    </row>
    <row r="889" spans="1:17" ht="13.9">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9">
      <c r="A890" s="2863"/>
      <c r="B890" s="2106" t="s">
        <v>6995</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3.9">
      <c r="A891" s="2106"/>
      <c r="B891" s="2868" t="s">
        <v>3239</v>
      </c>
      <c r="C891" s="2106"/>
      <c r="D891" s="2868"/>
      <c r="E891" s="2868"/>
      <c r="F891" s="2868"/>
      <c r="G891" s="2868"/>
      <c r="H891" s="2107"/>
      <c r="I891" s="2108"/>
      <c r="J891" s="2108"/>
      <c r="K891" s="2106"/>
      <c r="L891" s="2106"/>
      <c r="M891" s="2106"/>
      <c r="N891" s="2106"/>
      <c r="O891" s="2106"/>
      <c r="P891" s="2106"/>
      <c r="Q891" s="2106"/>
    </row>
    <row r="892" spans="1:17" ht="297">
      <c r="A892" s="2860" t="str">
        <f>'Part VII-Threshold Criteria'!A41</f>
        <v>Dogwood Trail Apartments II is designated for HFOP residents age 55+ as selected in Emphasys. All units above the ground floor are accessible by elevator.</v>
      </c>
      <c r="B892" s="2860"/>
      <c r="C892" s="2860"/>
      <c r="D892" s="2860"/>
      <c r="E892" s="2860"/>
      <c r="F892" s="2860"/>
      <c r="G892" s="2860"/>
      <c r="H892" s="2860"/>
      <c r="I892" s="2860"/>
      <c r="J892" s="2860"/>
      <c r="K892" s="2860"/>
      <c r="L892" s="2860"/>
      <c r="M892" s="2860"/>
      <c r="N892" s="2860"/>
      <c r="O892" s="2860"/>
      <c r="P892" s="2860"/>
      <c r="Q892" s="2860"/>
    </row>
    <row r="893" spans="1:17" ht="13.9">
      <c r="A893" s="2109"/>
      <c r="B893" s="2865" t="s">
        <v>1730</v>
      </c>
      <c r="C893" s="2109"/>
      <c r="D893" s="2109"/>
      <c r="E893" s="2109"/>
      <c r="F893" s="2109"/>
      <c r="G893" s="2109"/>
      <c r="H893" s="2109"/>
      <c r="I893" s="2867"/>
      <c r="J893" s="2867"/>
      <c r="K893" s="2867"/>
      <c r="L893" s="2867"/>
      <c r="M893" s="2867"/>
      <c r="N893" s="2867"/>
      <c r="O893" s="2867"/>
      <c r="P893" s="2867"/>
      <c r="Q893" s="2109"/>
    </row>
    <row r="894" spans="1:17" ht="13.5">
      <c r="A894" s="2860"/>
      <c r="B894" s="2860"/>
      <c r="C894" s="2860"/>
      <c r="D894" s="2860"/>
      <c r="E894" s="2860"/>
      <c r="F894" s="2860"/>
      <c r="G894" s="2860"/>
      <c r="H894" s="2860"/>
      <c r="I894" s="2860"/>
      <c r="J894" s="2860"/>
      <c r="K894" s="2860"/>
      <c r="L894" s="2860"/>
      <c r="M894" s="2860"/>
      <c r="N894" s="2860"/>
      <c r="O894" s="2860"/>
      <c r="P894" s="2860"/>
      <c r="Q894" s="2860"/>
    </row>
    <row r="895" spans="1:17" ht="13.9">
      <c r="A895" s="2109"/>
      <c r="B895" s="2867"/>
      <c r="C895" s="2867"/>
      <c r="D895" s="2867"/>
      <c r="E895" s="2867"/>
      <c r="F895" s="2867"/>
      <c r="G895" s="2867"/>
      <c r="H895" s="2867"/>
      <c r="I895" s="2867"/>
      <c r="J895" s="2867"/>
      <c r="K895" s="2867"/>
      <c r="L895" s="2867"/>
      <c r="M895" s="2867"/>
      <c r="N895" s="2867"/>
      <c r="O895" s="2867"/>
      <c r="P895" s="2867"/>
      <c r="Q895" s="2109"/>
    </row>
    <row r="896" spans="1:17" ht="13.9">
      <c r="A896" s="2106"/>
      <c r="B896" s="2108"/>
      <c r="C896" s="2867"/>
      <c r="D896" s="2867"/>
      <c r="E896" s="2867"/>
      <c r="F896" s="2867"/>
      <c r="G896" s="2867"/>
      <c r="H896" s="2867"/>
      <c r="I896" s="2867"/>
      <c r="J896" s="2867"/>
      <c r="K896" s="2867"/>
      <c r="L896" s="2867"/>
      <c r="M896" s="2867"/>
      <c r="N896" s="2867"/>
      <c r="O896" s="2867"/>
      <c r="P896" s="2867"/>
      <c r="Q896" s="2109"/>
    </row>
    <row r="897" spans="1:17" ht="13.9">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3.9">
      <c r="A898" s="2871"/>
      <c r="B898" s="2107" t="s">
        <v>6996</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3.9">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175.5">
      <c r="A900" s="2860" t="str">
        <f>'Part VII-Threshold Criteria'!A49</f>
        <v>Four services from the required categories will be provided as required for seniors properties.</v>
      </c>
      <c r="B900" s="2860"/>
      <c r="C900" s="2860"/>
      <c r="D900" s="2860"/>
      <c r="E900" s="2860"/>
      <c r="F900" s="2860"/>
      <c r="G900" s="2860"/>
      <c r="H900" s="2860"/>
      <c r="I900" s="2860"/>
      <c r="J900" s="2860"/>
      <c r="K900" s="2860"/>
      <c r="L900" s="2860"/>
      <c r="M900" s="2860"/>
      <c r="N900" s="2860"/>
      <c r="O900" s="2860"/>
      <c r="P900" s="2860"/>
      <c r="Q900" s="2860"/>
    </row>
    <row r="901" spans="1:17" ht="13.9">
      <c r="A901" s="2109"/>
      <c r="B901" s="2108"/>
      <c r="C901" s="2867"/>
      <c r="D901" s="2867"/>
      <c r="E901" s="2867"/>
      <c r="F901" s="2867"/>
      <c r="G901" s="2867"/>
      <c r="H901" s="2867"/>
      <c r="I901" s="2867"/>
      <c r="J901" s="2867"/>
      <c r="K901" s="2867"/>
      <c r="L901" s="2867"/>
      <c r="M901" s="2867"/>
      <c r="N901" s="2867"/>
      <c r="O901" s="2867"/>
      <c r="P901" s="2867"/>
      <c r="Q901" s="2109"/>
    </row>
    <row r="902" spans="1:17" ht="13.9">
      <c r="A902" s="2109"/>
      <c r="B902" s="2108"/>
      <c r="C902" s="2867"/>
      <c r="D902" s="2867"/>
      <c r="E902" s="2867"/>
      <c r="F902" s="2867"/>
      <c r="G902" s="2867"/>
      <c r="H902" s="2867"/>
      <c r="I902" s="2867"/>
      <c r="J902" s="2867"/>
      <c r="K902" s="2867"/>
      <c r="L902" s="2867"/>
      <c r="M902" s="2867"/>
      <c r="N902" s="2867"/>
      <c r="O902" s="2867"/>
      <c r="P902" s="2867"/>
      <c r="Q902" s="2109"/>
    </row>
    <row r="903" spans="1:17" ht="13.9">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John Wall &amp; Associates</v>
      </c>
      <c r="J904" s="2862"/>
      <c r="K904" s="2862"/>
      <c r="L904" s="2862"/>
      <c r="M904" s="2862"/>
      <c r="N904" s="2862"/>
      <c r="O904" s="2862"/>
      <c r="P904" s="2862"/>
      <c r="Q904" s="2862"/>
    </row>
    <row r="905" spans="1:17" ht="13.9">
      <c r="A905" s="2871"/>
      <c r="B905" s="2106" t="s">
        <v>6776</v>
      </c>
      <c r="C905" s="2106"/>
      <c r="D905" s="2860"/>
      <c r="E905" s="2860"/>
      <c r="F905" s="2860"/>
      <c r="G905" s="2106"/>
      <c r="H905" s="2106"/>
      <c r="I905" s="2860">
        <f>'Part VII-Threshold Criteria'!I54</f>
        <v>0.874</v>
      </c>
      <c r="J905" s="2860"/>
      <c r="K905" s="2860"/>
      <c r="L905" s="2873"/>
      <c r="M905" s="2874"/>
      <c r="N905" s="2874"/>
      <c r="O905" s="2874"/>
      <c r="P905" s="2874"/>
      <c r="Q905" s="2109"/>
    </row>
    <row r="906" spans="1:17" ht="13.9">
      <c r="A906" s="2871"/>
      <c r="B906" s="2106" t="s">
        <v>6777</v>
      </c>
      <c r="C906" s="2106"/>
      <c r="D906" s="2860"/>
      <c r="E906" s="2860"/>
      <c r="F906" s="2860"/>
      <c r="G906" s="2106"/>
      <c r="H906" s="2873" t="s">
        <v>6778</v>
      </c>
      <c r="I906" s="2860">
        <f>'Part VII-Threshold Criteria'!I55</f>
        <v>6.5000000000000002E-2</v>
      </c>
      <c r="J906" s="2860"/>
      <c r="K906" s="2860"/>
      <c r="L906" s="2874"/>
      <c r="M906" s="2875" t="s">
        <v>6779</v>
      </c>
      <c r="N906" s="2860" t="str">
        <f>'Part VII-Threshold Criteria'!N55</f>
        <v>N/A</v>
      </c>
      <c r="O906" s="2860"/>
      <c r="P906" s="2106"/>
      <c r="Q906" s="2106"/>
    </row>
    <row r="907" spans="1:17" ht="13.9">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The overall market occupancy rate is 87.4%. However, the average occupancy for LIHTC units in the market area is 99.0%. Additionally, there are limited options for seniors in East Albany as there has not been a new senior LIHTC property since 2010. The market study indicates the property should lease up in two months.</v>
      </c>
      <c r="B908" s="2860"/>
      <c r="C908" s="2860"/>
      <c r="D908" s="2860"/>
      <c r="E908" s="2860"/>
      <c r="F908" s="2860"/>
      <c r="G908" s="2860"/>
      <c r="H908" s="2860"/>
      <c r="I908" s="2860"/>
      <c r="J908" s="2860"/>
      <c r="K908" s="2860"/>
      <c r="L908" s="2860"/>
      <c r="M908" s="2860"/>
      <c r="N908" s="2860"/>
      <c r="O908" s="2860"/>
      <c r="P908" s="2860"/>
      <c r="Q908" s="2860"/>
    </row>
    <row r="909" spans="1:17" ht="13.9">
      <c r="A909" s="2106"/>
      <c r="B909" s="2865" t="s">
        <v>1730</v>
      </c>
      <c r="C909" s="2866"/>
      <c r="D909" s="2867"/>
      <c r="E909" s="2867"/>
      <c r="F909" s="2867"/>
      <c r="G909" s="2867"/>
      <c r="H909" s="2867"/>
      <c r="I909" s="2867"/>
      <c r="J909" s="2867"/>
      <c r="K909" s="2867"/>
      <c r="L909" s="2867"/>
      <c r="M909" s="2867"/>
      <c r="N909" s="2867"/>
      <c r="O909" s="2867"/>
      <c r="P909" s="2867"/>
      <c r="Q909" s="2867"/>
    </row>
    <row r="910" spans="1:17" ht="13.5">
      <c r="A910" s="2860"/>
      <c r="B910" s="2860"/>
      <c r="C910" s="2860"/>
      <c r="D910" s="2860"/>
      <c r="E910" s="2860"/>
      <c r="F910" s="2860"/>
      <c r="G910" s="2860"/>
      <c r="H910" s="2860"/>
      <c r="I910" s="2860"/>
      <c r="J910" s="2860"/>
      <c r="K910" s="2860"/>
      <c r="L910" s="2860"/>
      <c r="M910" s="2860"/>
      <c r="N910" s="2860"/>
      <c r="O910" s="2860"/>
      <c r="P910" s="2860"/>
      <c r="Q910" s="2860"/>
    </row>
    <row r="911" spans="1:17" ht="13.5">
      <c r="A911" s="2867"/>
      <c r="B911" s="2867"/>
      <c r="C911" s="2867"/>
      <c r="D911" s="2867"/>
      <c r="E911" s="2867"/>
      <c r="F911" s="2867"/>
      <c r="G911" s="2867"/>
      <c r="H911" s="2867"/>
      <c r="I911" s="2867"/>
      <c r="J911" s="2867"/>
      <c r="K911" s="2867"/>
      <c r="L911" s="2867"/>
      <c r="M911" s="2867"/>
      <c r="N911" s="2867"/>
      <c r="O911" s="2867"/>
      <c r="P911" s="2867"/>
      <c r="Q911" s="2867"/>
    </row>
    <row r="912" spans="1:17" ht="13.5">
      <c r="A912" s="2867"/>
      <c r="B912" s="2867"/>
      <c r="C912" s="2867"/>
      <c r="D912" s="2867"/>
      <c r="E912" s="2867"/>
      <c r="F912" s="2867"/>
      <c r="G912" s="2867"/>
      <c r="H912" s="2867"/>
      <c r="I912" s="2867"/>
      <c r="J912" s="2867"/>
      <c r="K912" s="2867"/>
      <c r="L912" s="2867"/>
      <c r="M912" s="2867"/>
      <c r="N912" s="2867"/>
      <c r="O912" s="2867"/>
      <c r="P912" s="2867"/>
      <c r="Q912" s="2867"/>
    </row>
    <row r="913" spans="1:17" ht="13.9">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81">
      <c r="A914" s="2871"/>
      <c r="B914" s="2106" t="s">
        <v>6780</v>
      </c>
      <c r="C914" s="2106"/>
      <c r="D914" s="2106"/>
      <c r="E914" s="2106"/>
      <c r="F914" s="2106"/>
      <c r="G914" s="2106"/>
      <c r="H914" s="2106"/>
      <c r="I914" s="2860"/>
      <c r="J914" s="2860" t="str">
        <f>'Part VII-Threshold Criteria'!J63</f>
        <v>BBG Real Estate Services - Kim Garner</v>
      </c>
      <c r="K914" s="2860"/>
      <c r="L914" s="2860"/>
      <c r="M914" s="2860"/>
      <c r="N914" s="2860"/>
      <c r="O914" s="2860"/>
      <c r="P914" s="2860"/>
      <c r="Q914" s="2860"/>
    </row>
    <row r="915" spans="1:17" ht="13.9">
      <c r="A915" s="2871"/>
      <c r="B915" s="2106" t="s">
        <v>3947</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Yes</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3.9">
      <c r="A918" s="2106"/>
      <c r="B918" s="2868" t="s">
        <v>6773</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 xml:space="preserve">There is an identity of interest between the buyer and seller for 3.4 acre project site.  The land is being sold to the partnership at its acquisition cost which is well below the appraised value.  As required, an appraisal is included in the application.  </v>
      </c>
      <c r="B919" s="2860"/>
      <c r="C919" s="2860"/>
      <c r="D919" s="2860"/>
      <c r="E919" s="2860"/>
      <c r="F919" s="2860"/>
      <c r="G919" s="2860"/>
      <c r="H919" s="2860"/>
      <c r="I919" s="2860"/>
      <c r="J919" s="2860"/>
      <c r="K919" s="2860"/>
      <c r="L919" s="2860"/>
      <c r="M919" s="2860"/>
      <c r="N919" s="2860"/>
      <c r="O919" s="2860"/>
      <c r="P919" s="2860"/>
      <c r="Q919" s="2860"/>
    </row>
    <row r="920" spans="1:17" ht="13.9">
      <c r="A920" s="2106"/>
      <c r="B920" s="2865" t="s">
        <v>1730</v>
      </c>
      <c r="C920" s="2866"/>
      <c r="D920" s="2867"/>
      <c r="E920" s="2867"/>
      <c r="F920" s="2867"/>
      <c r="G920" s="2867"/>
      <c r="H920" s="2867"/>
      <c r="I920" s="2867"/>
      <c r="J920" s="2867"/>
      <c r="K920" s="2867"/>
      <c r="L920" s="2867"/>
      <c r="M920" s="2867"/>
      <c r="N920" s="2867"/>
      <c r="O920" s="2867"/>
      <c r="P920" s="2867"/>
      <c r="Q920" s="2867"/>
    </row>
    <row r="921" spans="1:17" ht="13.5">
      <c r="A921" s="2860"/>
      <c r="B921" s="2860"/>
      <c r="C921" s="2860"/>
      <c r="D921" s="2860"/>
      <c r="E921" s="2860"/>
      <c r="F921" s="2860"/>
      <c r="G921" s="2860"/>
      <c r="H921" s="2860"/>
      <c r="I921" s="2860"/>
      <c r="J921" s="2860"/>
      <c r="K921" s="2860"/>
      <c r="L921" s="2860"/>
      <c r="M921" s="2860"/>
      <c r="N921" s="2860"/>
      <c r="O921" s="2860"/>
      <c r="P921" s="2860"/>
      <c r="Q921" s="2860"/>
    </row>
    <row r="922" spans="1:17" ht="13.5">
      <c r="A922" s="2106"/>
      <c r="B922" s="2106"/>
      <c r="C922" s="2106"/>
      <c r="D922" s="2106"/>
      <c r="E922" s="2106"/>
      <c r="F922" s="2106"/>
      <c r="G922" s="2106"/>
      <c r="H922" s="2106"/>
      <c r="I922" s="2106"/>
      <c r="J922" s="2106"/>
      <c r="K922" s="2106"/>
      <c r="L922" s="2106"/>
      <c r="M922" s="2106"/>
      <c r="N922" s="2106"/>
      <c r="O922" s="2106"/>
      <c r="P922" s="2106"/>
      <c r="Q922" s="2106"/>
    </row>
    <row r="923" spans="1:17" ht="13.5">
      <c r="A923" s="2106"/>
      <c r="B923" s="2106"/>
      <c r="C923" s="2106"/>
      <c r="D923" s="2106"/>
      <c r="E923" s="2106"/>
      <c r="F923" s="2106"/>
      <c r="G923" s="2106"/>
      <c r="H923" s="2106"/>
      <c r="I923" s="2106"/>
      <c r="J923" s="2106"/>
      <c r="K923" s="2106"/>
      <c r="L923" s="2106"/>
      <c r="M923" s="2106"/>
      <c r="N923" s="2106"/>
      <c r="O923" s="2106"/>
      <c r="P923" s="2106"/>
      <c r="Q923" s="2106"/>
    </row>
    <row r="924" spans="1:17" ht="13.9">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3.9">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9">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9">
      <c r="A928" s="2871"/>
      <c r="B928" s="2106" t="s">
        <v>6785</v>
      </c>
      <c r="C928" s="2106"/>
      <c r="D928" s="2860"/>
      <c r="E928" s="2860"/>
      <c r="F928" s="2860"/>
      <c r="G928" s="2860"/>
      <c r="H928" s="2860"/>
      <c r="I928" s="2106"/>
      <c r="J928" s="2106"/>
      <c r="K928" s="2860"/>
      <c r="L928" s="2867"/>
      <c r="M928" s="2867"/>
      <c r="N928" s="2867"/>
      <c r="O928" s="2873"/>
      <c r="P928" s="2106"/>
      <c r="Q928" s="2106"/>
    </row>
    <row r="929" spans="1:17" ht="13.9">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3.9">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3.9">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3.9">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6997</v>
      </c>
      <c r="C933" s="2860"/>
      <c r="D933" s="2860"/>
      <c r="E933" s="2860"/>
      <c r="F933" s="2860"/>
      <c r="G933" s="2860"/>
      <c r="H933" s="2860"/>
      <c r="I933" s="2860"/>
      <c r="J933" s="2860"/>
      <c r="K933" s="2860"/>
      <c r="L933" s="2860"/>
      <c r="M933" s="2860"/>
      <c r="N933" s="2860"/>
      <c r="O933" s="2860"/>
      <c r="P933" s="2860"/>
      <c r="Q933" s="2860"/>
    </row>
    <row r="934" spans="1:17" ht="13.5">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3.9">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v>
      </c>
      <c r="B936" s="2860"/>
      <c r="C936" s="2860"/>
      <c r="D936" s="2860"/>
      <c r="E936" s="2860"/>
      <c r="F936" s="2860"/>
      <c r="G936" s="2860"/>
      <c r="H936" s="2860"/>
      <c r="I936" s="2860"/>
      <c r="J936" s="2860"/>
      <c r="K936" s="2860"/>
      <c r="L936" s="2860"/>
      <c r="M936" s="2860"/>
      <c r="N936" s="2860"/>
      <c r="O936" s="2860"/>
      <c r="P936" s="2860"/>
      <c r="Q936" s="2860"/>
    </row>
    <row r="937" spans="1:17" ht="13.9">
      <c r="A937" s="2106"/>
      <c r="B937" s="2865" t="s">
        <v>1730</v>
      </c>
      <c r="C937" s="2866"/>
      <c r="D937" s="2867"/>
      <c r="E937" s="2867"/>
      <c r="F937" s="2867"/>
      <c r="G937" s="2867"/>
      <c r="H937" s="2867"/>
      <c r="I937" s="2867"/>
      <c r="J937" s="2867"/>
      <c r="K937" s="2867"/>
      <c r="L937" s="2867"/>
      <c r="M937" s="2867"/>
      <c r="N937" s="2867"/>
      <c r="O937" s="2867"/>
      <c r="P937" s="2867"/>
      <c r="Q937" s="2867"/>
    </row>
    <row r="938" spans="1:17" ht="13.5">
      <c r="A938" s="2860"/>
      <c r="B938" s="2860"/>
      <c r="C938" s="2860"/>
      <c r="D938" s="2860"/>
      <c r="E938" s="2860"/>
      <c r="F938" s="2860"/>
      <c r="G938" s="2860"/>
      <c r="H938" s="2860"/>
      <c r="I938" s="2860"/>
      <c r="J938" s="2860"/>
      <c r="K938" s="2860"/>
      <c r="L938" s="2860"/>
      <c r="M938" s="2860"/>
      <c r="N938" s="2860"/>
      <c r="O938" s="2860"/>
      <c r="P938" s="2860"/>
      <c r="Q938" s="2860"/>
    </row>
    <row r="939" spans="1:17" ht="13.9">
      <c r="A939" s="2109"/>
      <c r="B939" s="2108"/>
      <c r="C939" s="2867"/>
      <c r="D939" s="2867"/>
      <c r="E939" s="2867"/>
      <c r="F939" s="2867"/>
      <c r="G939" s="2867"/>
      <c r="H939" s="2867"/>
      <c r="I939" s="2867"/>
      <c r="J939" s="2867"/>
      <c r="K939" s="2867"/>
      <c r="L939" s="2867"/>
      <c r="M939" s="2867"/>
      <c r="N939" s="2867"/>
      <c r="O939" s="2867"/>
      <c r="P939" s="2867"/>
      <c r="Q939" s="2109"/>
    </row>
    <row r="940" spans="1:17" ht="13.9">
      <c r="A940" s="2109"/>
      <c r="B940" s="2108"/>
      <c r="C940" s="2867"/>
      <c r="D940" s="2867"/>
      <c r="E940" s="2867"/>
      <c r="F940" s="2867"/>
      <c r="G940" s="2867"/>
      <c r="H940" s="2867"/>
      <c r="I940" s="2867"/>
      <c r="J940" s="2867"/>
      <c r="K940" s="2867"/>
      <c r="L940" s="2867"/>
      <c r="M940" s="2867"/>
      <c r="N940" s="2867"/>
      <c r="O940" s="2867"/>
      <c r="P940" s="2867"/>
      <c r="Q940" s="2109"/>
    </row>
    <row r="941" spans="1:17" ht="13.9">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0.5">
      <c r="A943" s="2871"/>
      <c r="B943" s="2106" t="s">
        <v>636</v>
      </c>
      <c r="C943" s="2106"/>
      <c r="D943" s="2106"/>
      <c r="E943" s="2106"/>
      <c r="F943" s="2106"/>
      <c r="G943" s="2860" t="str">
        <f>'Part VII-Threshold Criteria'!G92</f>
        <v>Dogwood Trail GP II, LLC</v>
      </c>
      <c r="H943" s="2860"/>
      <c r="I943" s="2860"/>
      <c r="J943" s="2860"/>
      <c r="K943" s="2860"/>
      <c r="L943" s="2860"/>
      <c r="M943" s="2860"/>
      <c r="N943" s="2860"/>
      <c r="O943" s="2860"/>
      <c r="P943" s="2860"/>
      <c r="Q943" s="2860"/>
    </row>
    <row r="944" spans="1:17" ht="13.9">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There is an identity of interest between the buyer and seller for 3.4 acre project site.  The land is being sold to the partnership at its acquisition cost which is well below the appraised value.  As required, an appraisal is included in the application</v>
      </c>
      <c r="B945" s="2860"/>
      <c r="C945" s="2860"/>
      <c r="D945" s="2860"/>
      <c r="E945" s="2860"/>
      <c r="F945" s="2860"/>
      <c r="G945" s="2860"/>
      <c r="H945" s="2860"/>
      <c r="I945" s="2860"/>
      <c r="J945" s="2860"/>
      <c r="K945" s="2860"/>
      <c r="L945" s="2860"/>
      <c r="M945" s="2860"/>
      <c r="N945" s="2860"/>
      <c r="O945" s="2860"/>
      <c r="P945" s="2860"/>
      <c r="Q945" s="2860"/>
    </row>
    <row r="946" spans="1:17" ht="13.9">
      <c r="A946" s="2106"/>
      <c r="B946" s="2865" t="s">
        <v>1730</v>
      </c>
      <c r="C946" s="2866"/>
      <c r="D946" s="2867"/>
      <c r="E946" s="2867"/>
      <c r="F946" s="2867"/>
      <c r="G946" s="2867"/>
      <c r="H946" s="2867"/>
      <c r="I946" s="2867"/>
      <c r="J946" s="2867"/>
      <c r="K946" s="2867"/>
      <c r="L946" s="2867"/>
      <c r="M946" s="2867"/>
      <c r="N946" s="2867"/>
      <c r="O946" s="2867"/>
      <c r="P946" s="2867"/>
      <c r="Q946" s="2867"/>
    </row>
    <row r="947" spans="1:17" ht="13.5">
      <c r="A947" s="2860"/>
      <c r="B947" s="2860"/>
      <c r="C947" s="2860"/>
      <c r="D947" s="2860"/>
      <c r="E947" s="2860"/>
      <c r="F947" s="2860"/>
      <c r="G947" s="2860"/>
      <c r="H947" s="2860"/>
      <c r="I947" s="2860"/>
      <c r="J947" s="2860"/>
      <c r="K947" s="2860"/>
      <c r="L947" s="2860"/>
      <c r="M947" s="2860"/>
      <c r="N947" s="2860"/>
      <c r="O947" s="2860"/>
      <c r="P947" s="2860"/>
      <c r="Q947" s="2860"/>
    </row>
    <row r="948" spans="1:17" ht="13.9">
      <c r="A948" s="2109"/>
      <c r="B948" s="2108"/>
      <c r="C948" s="2867"/>
      <c r="D948" s="2867"/>
      <c r="E948" s="2867"/>
      <c r="F948" s="2867"/>
      <c r="G948" s="2867"/>
      <c r="H948" s="2867"/>
      <c r="I948" s="2867"/>
      <c r="J948" s="2867"/>
      <c r="K948" s="2867"/>
      <c r="L948" s="2867"/>
      <c r="M948" s="2867"/>
      <c r="N948" s="2106"/>
      <c r="O948" s="2106"/>
      <c r="P948" s="2106"/>
      <c r="Q948" s="2109"/>
    </row>
    <row r="949" spans="1:17" ht="13.9">
      <c r="A949" s="2109"/>
      <c r="B949" s="2108"/>
      <c r="C949" s="2867"/>
      <c r="D949" s="2867"/>
      <c r="E949" s="2867"/>
      <c r="F949" s="2867"/>
      <c r="G949" s="2867"/>
      <c r="H949" s="2867"/>
      <c r="I949" s="2867"/>
      <c r="J949" s="2867"/>
      <c r="K949" s="2867"/>
      <c r="L949" s="2867"/>
      <c r="M949" s="2867"/>
      <c r="N949" s="2106"/>
      <c r="O949" s="2106"/>
      <c r="P949" s="2106"/>
      <c r="Q949" s="2109"/>
    </row>
    <row r="950" spans="1:17" ht="13.9">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3.9">
      <c r="A951" s="2106"/>
      <c r="B951" s="2868" t="s">
        <v>3239</v>
      </c>
      <c r="C951" s="2106"/>
      <c r="D951" s="2868"/>
      <c r="E951" s="2868"/>
      <c r="F951" s="2868"/>
      <c r="G951" s="2868"/>
      <c r="H951" s="2107"/>
      <c r="I951" s="2108"/>
      <c r="J951" s="2108"/>
      <c r="K951" s="2108"/>
      <c r="L951" s="2109"/>
      <c r="M951" s="2109"/>
      <c r="N951" s="2109"/>
      <c r="O951" s="2109"/>
      <c r="P951" s="2109"/>
      <c r="Q951" s="2109"/>
    </row>
    <row r="952" spans="1:17" ht="229.5">
      <c r="A952" s="2860" t="str">
        <f>'Part VII-Threshold Criteria'!A101</f>
        <v>The project has legal access from Marie Rd, East Rd and Pineview Avenue, all public roads are maintained by the City of Albany.</v>
      </c>
      <c r="B952" s="2860"/>
      <c r="C952" s="2860"/>
      <c r="D952" s="2860"/>
      <c r="E952" s="2860"/>
      <c r="F952" s="2860"/>
      <c r="G952" s="2860"/>
      <c r="H952" s="2860"/>
      <c r="I952" s="2860"/>
      <c r="J952" s="2860"/>
      <c r="K952" s="2860"/>
      <c r="L952" s="2860"/>
      <c r="M952" s="2860"/>
      <c r="N952" s="2860"/>
      <c r="O952" s="2860"/>
      <c r="P952" s="2860"/>
      <c r="Q952" s="2860"/>
    </row>
    <row r="953" spans="1:17" ht="13.9">
      <c r="A953" s="2106"/>
      <c r="B953" s="2865" t="s">
        <v>1730</v>
      </c>
      <c r="C953" s="2866"/>
      <c r="D953" s="2867"/>
      <c r="E953" s="2867"/>
      <c r="F953" s="2867"/>
      <c r="G953" s="2867"/>
      <c r="H953" s="2867"/>
      <c r="I953" s="2867"/>
      <c r="J953" s="2867"/>
      <c r="K953" s="2867"/>
      <c r="L953" s="2867"/>
      <c r="M953" s="2867"/>
      <c r="N953" s="2867"/>
      <c r="O953" s="2867"/>
      <c r="P953" s="2867"/>
      <c r="Q953" s="2867"/>
    </row>
    <row r="954" spans="1:17" ht="13.5">
      <c r="A954" s="2860"/>
      <c r="B954" s="2860"/>
      <c r="C954" s="2860"/>
      <c r="D954" s="2860"/>
      <c r="E954" s="2860"/>
      <c r="F954" s="2860"/>
      <c r="G954" s="2860"/>
      <c r="H954" s="2860"/>
      <c r="I954" s="2860"/>
      <c r="J954" s="2860"/>
      <c r="K954" s="2860"/>
      <c r="L954" s="2860"/>
      <c r="M954" s="2860"/>
      <c r="N954" s="2860"/>
      <c r="O954" s="2860"/>
      <c r="P954" s="2860"/>
      <c r="Q954" s="2860"/>
    </row>
    <row r="955" spans="1:17" ht="13.9">
      <c r="A955" s="2106"/>
      <c r="B955" s="2108"/>
      <c r="C955" s="2867"/>
      <c r="D955" s="2867"/>
      <c r="E955" s="2867"/>
      <c r="F955" s="2867"/>
      <c r="G955" s="2867"/>
      <c r="H955" s="2867"/>
      <c r="I955" s="2867"/>
      <c r="J955" s="2867"/>
      <c r="K955" s="2867"/>
      <c r="L955" s="2867"/>
      <c r="M955" s="2867"/>
      <c r="N955" s="2867"/>
      <c r="O955" s="2867"/>
      <c r="P955" s="2867"/>
      <c r="Q955" s="2109"/>
    </row>
    <row r="956" spans="1:17" ht="13.9">
      <c r="A956" s="2106"/>
      <c r="B956" s="2108"/>
      <c r="C956" s="2867"/>
      <c r="D956" s="2867"/>
      <c r="E956" s="2867"/>
      <c r="F956" s="2867"/>
      <c r="G956" s="2867"/>
      <c r="H956" s="2867"/>
      <c r="I956" s="2867"/>
      <c r="J956" s="2867"/>
      <c r="K956" s="2867"/>
      <c r="L956" s="2867"/>
      <c r="M956" s="2867"/>
      <c r="N956" s="2867"/>
      <c r="O956" s="2867"/>
      <c r="P956" s="2867"/>
      <c r="Q956" s="2109"/>
    </row>
    <row r="957" spans="1:17" ht="13.9">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3.9">
      <c r="A958" s="2106"/>
      <c r="B958" s="2868" t="s">
        <v>3239</v>
      </c>
      <c r="C958" s="2106"/>
      <c r="D958" s="2868"/>
      <c r="E958" s="2868"/>
      <c r="F958" s="2868"/>
      <c r="G958" s="2868"/>
      <c r="H958" s="2107"/>
      <c r="I958" s="2108"/>
      <c r="J958" s="2108"/>
      <c r="K958" s="2108"/>
      <c r="L958" s="2109"/>
      <c r="M958" s="2109"/>
      <c r="N958" s="2109"/>
      <c r="O958" s="2109"/>
      <c r="P958" s="2109"/>
      <c r="Q958" s="2109"/>
    </row>
    <row r="959" spans="1:17" ht="351">
      <c r="A959" s="2860" t="str">
        <f>'Part VII-Threshold Criteria'!A108</f>
        <v xml:space="preserve">The property is zoned C-R Community Residential Multiple Dwelling District in which apartments are allowed by right.  The relevant parts of the ordinance are included in the application. </v>
      </c>
      <c r="B959" s="2860"/>
      <c r="C959" s="2860"/>
      <c r="D959" s="2860"/>
      <c r="E959" s="2860"/>
      <c r="F959" s="2860"/>
      <c r="G959" s="2860"/>
      <c r="H959" s="2860"/>
      <c r="I959" s="2860"/>
      <c r="J959" s="2860"/>
      <c r="K959" s="2860"/>
      <c r="L959" s="2860"/>
      <c r="M959" s="2860"/>
      <c r="N959" s="2860"/>
      <c r="O959" s="2860"/>
      <c r="P959" s="2860"/>
      <c r="Q959" s="2860"/>
    </row>
    <row r="960" spans="1:17" ht="13.9">
      <c r="A960" s="2106"/>
      <c r="B960" s="2865" t="s">
        <v>1730</v>
      </c>
      <c r="C960" s="2866"/>
      <c r="D960" s="2867"/>
      <c r="E960" s="2867"/>
      <c r="F960" s="2867"/>
      <c r="G960" s="2867"/>
      <c r="H960" s="2867"/>
      <c r="I960" s="2867"/>
      <c r="J960" s="2867"/>
      <c r="K960" s="2867"/>
      <c r="L960" s="2867"/>
      <c r="M960" s="2867"/>
      <c r="N960" s="2867"/>
      <c r="O960" s="2867"/>
      <c r="P960" s="2867"/>
      <c r="Q960" s="2867"/>
    </row>
    <row r="961" spans="1:17" ht="13.5">
      <c r="A961" s="2860"/>
      <c r="B961" s="2860"/>
      <c r="C961" s="2860"/>
      <c r="D961" s="2860"/>
      <c r="E961" s="2860"/>
      <c r="F961" s="2860"/>
      <c r="G961" s="2860"/>
      <c r="H961" s="2860"/>
      <c r="I961" s="2860"/>
      <c r="J961" s="2860"/>
      <c r="K961" s="2860"/>
      <c r="L961" s="2860"/>
      <c r="M961" s="2860"/>
      <c r="N961" s="2860"/>
      <c r="O961" s="2860"/>
      <c r="P961" s="2860"/>
      <c r="Q961" s="2860"/>
    </row>
    <row r="962" spans="1:17" ht="13.9">
      <c r="A962" s="2109"/>
      <c r="B962" s="2108"/>
      <c r="C962" s="2867"/>
      <c r="D962" s="2867"/>
      <c r="E962" s="2867"/>
      <c r="F962" s="2867"/>
      <c r="G962" s="2867"/>
      <c r="H962" s="2867"/>
      <c r="I962" s="2867"/>
      <c r="J962" s="2867"/>
      <c r="K962" s="2867"/>
      <c r="L962" s="2867"/>
      <c r="M962" s="2867"/>
      <c r="N962" s="2867"/>
      <c r="O962" s="2867"/>
      <c r="P962" s="2867"/>
      <c r="Q962" s="2109"/>
    </row>
    <row r="963" spans="1:17" ht="13.9">
      <c r="A963" s="2109"/>
      <c r="B963" s="2108"/>
      <c r="C963" s="2867"/>
      <c r="D963" s="2867"/>
      <c r="E963" s="2867"/>
      <c r="F963" s="2867"/>
      <c r="G963" s="2867"/>
      <c r="H963" s="2867"/>
      <c r="I963" s="2867"/>
      <c r="J963" s="2867"/>
      <c r="K963" s="2867"/>
      <c r="L963" s="2867"/>
      <c r="M963" s="2867"/>
      <c r="N963" s="2867"/>
      <c r="O963" s="2867"/>
      <c r="P963" s="2867"/>
      <c r="Q963" s="2109"/>
    </row>
    <row r="964" spans="1:17" ht="13.9">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9">
      <c r="A965" s="2871"/>
      <c r="B965" s="2106" t="s">
        <v>6791</v>
      </c>
      <c r="C965" s="2106"/>
      <c r="D965" s="2106"/>
      <c r="E965" s="2106"/>
      <c r="F965" s="2106"/>
      <c r="G965" s="2106"/>
      <c r="H965" s="2106" t="s">
        <v>6792</v>
      </c>
      <c r="I965" s="2106"/>
      <c r="J965" s="2859" t="str">
        <f>'Part VII-Threshold Criteria'!J114</f>
        <v>City of Albany</v>
      </c>
      <c r="K965" s="2859"/>
      <c r="L965" s="2859"/>
      <c r="M965" s="2859"/>
      <c r="N965" s="2859"/>
      <c r="O965" s="2859"/>
      <c r="P965" s="2859"/>
      <c r="Q965" s="2859"/>
    </row>
    <row r="966" spans="1:17" ht="13.9">
      <c r="A966" s="2871"/>
      <c r="B966" s="2871"/>
      <c r="C966" s="2106"/>
      <c r="D966" s="2106"/>
      <c r="E966" s="2106"/>
      <c r="F966" s="2106"/>
      <c r="G966" s="2106"/>
      <c r="H966" s="2106" t="s">
        <v>6793</v>
      </c>
      <c r="I966" s="2106"/>
      <c r="J966" s="2859" t="str">
        <f>'Part VII-Threshold Criteria'!J115</f>
        <v>City of Albany</v>
      </c>
      <c r="K966" s="2859"/>
      <c r="L966" s="2859"/>
      <c r="M966" s="2859"/>
      <c r="N966" s="2859"/>
      <c r="O966" s="2859"/>
      <c r="P966" s="2859"/>
      <c r="Q966" s="2859"/>
    </row>
    <row r="967" spans="1:17" ht="13.9">
      <c r="A967" s="2871"/>
      <c r="B967" s="2868" t="s">
        <v>3239</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A letter from the Utility Engineering Superintendant is included in the application stating that electric service is available to the site in the rights-of-way. No easements are necessary. Units are all electric. Gas, whle avialable will not be utilized.</v>
      </c>
      <c r="B968" s="2860"/>
      <c r="C968" s="2860"/>
      <c r="D968" s="2860"/>
      <c r="E968" s="2860"/>
      <c r="F968" s="2860"/>
      <c r="G968" s="2860"/>
      <c r="H968" s="2860"/>
      <c r="I968" s="2860"/>
      <c r="J968" s="2860"/>
      <c r="K968" s="2860"/>
      <c r="L968" s="2860"/>
      <c r="M968" s="2860"/>
      <c r="N968" s="2860"/>
      <c r="O968" s="2860"/>
      <c r="P968" s="2860"/>
      <c r="Q968" s="2860"/>
    </row>
    <row r="969" spans="1:17" ht="13.9">
      <c r="A969" s="2106"/>
      <c r="B969" s="2865" t="s">
        <v>1730</v>
      </c>
      <c r="C969" s="2866"/>
      <c r="D969" s="2867"/>
      <c r="E969" s="2867"/>
      <c r="F969" s="2867"/>
      <c r="G969" s="2867"/>
      <c r="H969" s="2867"/>
      <c r="I969" s="2867"/>
      <c r="J969" s="2867"/>
      <c r="K969" s="2867"/>
      <c r="L969" s="2867"/>
      <c r="M969" s="2867"/>
      <c r="N969" s="2867"/>
      <c r="O969" s="2867"/>
      <c r="P969" s="2867"/>
      <c r="Q969" s="2867"/>
    </row>
    <row r="970" spans="1:17" ht="13.5">
      <c r="A970" s="2860"/>
      <c r="B970" s="2860"/>
      <c r="C970" s="2860"/>
      <c r="D970" s="2860"/>
      <c r="E970" s="2860"/>
      <c r="F970" s="2860"/>
      <c r="G970" s="2860"/>
      <c r="H970" s="2860"/>
      <c r="I970" s="2860"/>
      <c r="J970" s="2860"/>
      <c r="K970" s="2860"/>
      <c r="L970" s="2860"/>
      <c r="M970" s="2860"/>
      <c r="N970" s="2860"/>
      <c r="O970" s="2860"/>
      <c r="P970" s="2860"/>
      <c r="Q970" s="2860"/>
    </row>
    <row r="971" spans="1:17" ht="13.9">
      <c r="A971" s="2106"/>
      <c r="B971" s="2108"/>
      <c r="C971" s="2867"/>
      <c r="D971" s="2867"/>
      <c r="E971" s="2867"/>
      <c r="F971" s="2867"/>
      <c r="G971" s="2867"/>
      <c r="H971" s="2867"/>
      <c r="I971" s="2867"/>
      <c r="J971" s="2867"/>
      <c r="K971" s="2867"/>
      <c r="L971" s="2867"/>
      <c r="M971" s="2867"/>
      <c r="N971" s="2106"/>
      <c r="O971" s="2106"/>
      <c r="P971" s="2106"/>
      <c r="Q971" s="2109"/>
    </row>
    <row r="972" spans="1:17" ht="13.9">
      <c r="A972" s="2106"/>
      <c r="B972" s="2108"/>
      <c r="C972" s="2867"/>
      <c r="D972" s="2867"/>
      <c r="E972" s="2867"/>
      <c r="F972" s="2867"/>
      <c r="G972" s="2867"/>
      <c r="H972" s="2867"/>
      <c r="I972" s="2867"/>
      <c r="J972" s="2867"/>
      <c r="K972" s="2867"/>
      <c r="L972" s="2867"/>
      <c r="M972" s="2867"/>
      <c r="N972" s="2106"/>
      <c r="O972" s="2106"/>
      <c r="P972" s="2106"/>
      <c r="Q972" s="2109"/>
    </row>
    <row r="973" spans="1:17" ht="13.9">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3.9">
      <c r="A974" s="2871"/>
      <c r="B974" s="2106" t="s">
        <v>6795</v>
      </c>
      <c r="C974" s="2106"/>
      <c r="D974" s="2106"/>
      <c r="E974" s="2106"/>
      <c r="F974" s="2106"/>
      <c r="G974" s="2106"/>
      <c r="H974" s="2106" t="s">
        <v>6796</v>
      </c>
      <c r="I974" s="2106"/>
      <c r="J974" s="2859" t="str">
        <f>'Part VII-Threshold Criteria'!J123</f>
        <v>City of Albany</v>
      </c>
      <c r="K974" s="2859"/>
      <c r="L974" s="2859"/>
      <c r="M974" s="2859"/>
      <c r="N974" s="2859"/>
      <c r="O974" s="2859"/>
      <c r="P974" s="2859"/>
      <c r="Q974" s="2859"/>
    </row>
    <row r="975" spans="1:17" ht="13.9">
      <c r="A975" s="2860"/>
      <c r="B975" s="2871"/>
      <c r="C975" s="2106"/>
      <c r="D975" s="2106"/>
      <c r="E975" s="2106"/>
      <c r="F975" s="2106"/>
      <c r="G975" s="2106"/>
      <c r="H975" s="2106" t="s">
        <v>6797</v>
      </c>
      <c r="I975" s="2106"/>
      <c r="J975" s="2859" t="str">
        <f>'Part VII-Threshold Criteria'!J124</f>
        <v>City of Albany</v>
      </c>
      <c r="K975" s="2859"/>
      <c r="L975" s="2859"/>
      <c r="M975" s="2859"/>
      <c r="N975" s="2859"/>
      <c r="O975" s="2859"/>
      <c r="P975" s="2859"/>
      <c r="Q975" s="2859"/>
    </row>
    <row r="976" spans="1:17" ht="13.9">
      <c r="A976" s="2106"/>
      <c r="B976" s="2868" t="s">
        <v>3239</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Both letters from the apropriate city departments indicate that water and sewer are available to the site with adequate capacity to serve the proposed development. The utilities are located in the public rights-of-way with no easements required to access them.</v>
      </c>
      <c r="B977" s="2860"/>
      <c r="C977" s="2860"/>
      <c r="D977" s="2860"/>
      <c r="E977" s="2860"/>
      <c r="F977" s="2860"/>
      <c r="G977" s="2860"/>
      <c r="H977" s="2860"/>
      <c r="I977" s="2860"/>
      <c r="J977" s="2860"/>
      <c r="K977" s="2860"/>
      <c r="L977" s="2860"/>
      <c r="M977" s="2860"/>
      <c r="N977" s="2860"/>
      <c r="O977" s="2860"/>
      <c r="P977" s="2860"/>
      <c r="Q977" s="2860"/>
    </row>
    <row r="978" spans="1:17" ht="13.9">
      <c r="A978" s="2106"/>
      <c r="B978" s="2865" t="s">
        <v>1730</v>
      </c>
      <c r="C978" s="2866"/>
      <c r="D978" s="2867"/>
      <c r="E978" s="2867"/>
      <c r="F978" s="2867"/>
      <c r="G978" s="2867"/>
      <c r="H978" s="2867"/>
      <c r="I978" s="2867"/>
      <c r="J978" s="2867"/>
      <c r="K978" s="2867"/>
      <c r="L978" s="2867"/>
      <c r="M978" s="2867"/>
      <c r="N978" s="2867"/>
      <c r="O978" s="2867"/>
      <c r="P978" s="2867"/>
      <c r="Q978" s="2867"/>
    </row>
    <row r="979" spans="1:17" ht="13.5">
      <c r="A979" s="2860"/>
      <c r="B979" s="2860"/>
      <c r="C979" s="2860"/>
      <c r="D979" s="2860"/>
      <c r="E979" s="2860"/>
      <c r="F979" s="2860"/>
      <c r="G979" s="2860"/>
      <c r="H979" s="2860"/>
      <c r="I979" s="2860"/>
      <c r="J979" s="2860"/>
      <c r="K979" s="2860"/>
      <c r="L979" s="2860"/>
      <c r="M979" s="2860"/>
      <c r="N979" s="2860"/>
      <c r="O979" s="2860"/>
      <c r="P979" s="2860"/>
      <c r="Q979" s="2860"/>
    </row>
    <row r="980" spans="1:17" ht="13.9">
      <c r="A980" s="2109"/>
      <c r="B980" s="2108"/>
      <c r="C980" s="2867"/>
      <c r="D980" s="2867"/>
      <c r="E980" s="2867"/>
      <c r="F980" s="2867"/>
      <c r="G980" s="2867"/>
      <c r="H980" s="2867"/>
      <c r="I980" s="2867"/>
      <c r="J980" s="2867"/>
      <c r="K980" s="2867"/>
      <c r="L980" s="2867"/>
      <c r="M980" s="2867"/>
      <c r="N980" s="2106"/>
      <c r="O980" s="2106"/>
      <c r="P980" s="2106"/>
      <c r="Q980" s="2109"/>
    </row>
    <row r="981" spans="1:17" ht="13.9">
      <c r="A981" s="2109"/>
      <c r="B981" s="2108"/>
      <c r="C981" s="2867"/>
      <c r="D981" s="2867"/>
      <c r="E981" s="2867"/>
      <c r="F981" s="2867"/>
      <c r="G981" s="2867"/>
      <c r="H981" s="2867"/>
      <c r="I981" s="2867"/>
      <c r="J981" s="2867"/>
      <c r="K981" s="2867"/>
      <c r="L981" s="2867"/>
      <c r="M981" s="2867"/>
      <c r="N981" s="2106"/>
      <c r="O981" s="2106"/>
      <c r="P981" s="2106"/>
      <c r="Q981" s="2109"/>
    </row>
    <row r="982" spans="1:17" ht="13.9">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6998</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3.9">
      <c r="A984" s="2871" t="s">
        <v>1841</v>
      </c>
      <c r="B984" s="2106" t="s">
        <v>6999</v>
      </c>
      <c r="C984" s="2106"/>
      <c r="D984" s="2106"/>
      <c r="E984" s="2106"/>
      <c r="F984" s="2106"/>
      <c r="G984" s="2106"/>
      <c r="H984" s="2106"/>
      <c r="I984" s="2106"/>
      <c r="J984" s="2106"/>
      <c r="K984" s="2106"/>
      <c r="L984" s="2106"/>
      <c r="M984" s="2106"/>
      <c r="N984" s="2106"/>
      <c r="O984" s="2873"/>
      <c r="P984" s="2106"/>
      <c r="Q984" s="2106"/>
    </row>
    <row r="985" spans="1:17" ht="13.9">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9">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9">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7000</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7001</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Covered pavilion with picnic/BBQ facilities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Furnished Arts &amp; Craft /Activity Center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3.9">
      <c r="A995" s="2106"/>
      <c r="B995" s="2868" t="s">
        <v>3239</v>
      </c>
      <c r="C995" s="2106"/>
      <c r="D995" s="2868"/>
      <c r="E995" s="2868"/>
      <c r="F995" s="2868"/>
      <c r="G995" s="2868"/>
      <c r="H995" s="2107"/>
      <c r="I995" s="2108"/>
      <c r="J995" s="2108"/>
      <c r="K995" s="2108"/>
      <c r="L995" s="2109"/>
      <c r="M995" s="2109"/>
      <c r="N995" s="2109"/>
      <c r="O995" s="2109"/>
      <c r="P995" s="2106"/>
      <c r="Q995" s="2106"/>
    </row>
    <row r="996" spans="1:17" ht="364.5">
      <c r="A996" s="2860" t="str">
        <f>'Part VII-Threshold Criteria'!A145</f>
        <v>All required amenities are documented above but also on the site plan either written or graphically. Powder-based stovetop fire supression canisters will be installed above range cook top.</v>
      </c>
      <c r="B996" s="2860"/>
      <c r="C996" s="2860"/>
      <c r="D996" s="2860"/>
      <c r="E996" s="2860"/>
      <c r="F996" s="2860"/>
      <c r="G996" s="2860"/>
      <c r="H996" s="2860"/>
      <c r="I996" s="2860"/>
      <c r="J996" s="2860"/>
      <c r="K996" s="2860"/>
      <c r="L996" s="2860"/>
      <c r="M996" s="2860"/>
      <c r="N996" s="2860"/>
      <c r="O996" s="2860"/>
      <c r="P996" s="2860"/>
      <c r="Q996" s="2860"/>
    </row>
    <row r="997" spans="1:17" ht="13.9">
      <c r="A997" s="2106"/>
      <c r="B997" s="2865" t="s">
        <v>1730</v>
      </c>
      <c r="C997" s="2866"/>
      <c r="D997" s="2867"/>
      <c r="E997" s="2867"/>
      <c r="F997" s="2867"/>
      <c r="G997" s="2867"/>
      <c r="H997" s="2867"/>
      <c r="I997" s="2867"/>
      <c r="J997" s="2867"/>
      <c r="K997" s="2867"/>
      <c r="L997" s="2867"/>
      <c r="M997" s="2867"/>
      <c r="N997" s="2867"/>
      <c r="O997" s="2867"/>
      <c r="P997" s="2867"/>
      <c r="Q997" s="2867"/>
    </row>
    <row r="998" spans="1:17" ht="13.5">
      <c r="A998" s="2860"/>
      <c r="B998" s="2860"/>
      <c r="C998" s="2860"/>
      <c r="D998" s="2860"/>
      <c r="E998" s="2860"/>
      <c r="F998" s="2860"/>
      <c r="G998" s="2860"/>
      <c r="H998" s="2860"/>
      <c r="I998" s="2860"/>
      <c r="J998" s="2860"/>
      <c r="K998" s="2860"/>
      <c r="L998" s="2860"/>
      <c r="M998" s="2860"/>
      <c r="N998" s="2860"/>
      <c r="O998" s="2860"/>
      <c r="P998" s="2860"/>
      <c r="Q998" s="2860"/>
    </row>
    <row r="999" spans="1:17" ht="13.9">
      <c r="A999" s="2109"/>
      <c r="B999" s="2108"/>
      <c r="C999" s="2867"/>
      <c r="D999" s="2867"/>
      <c r="E999" s="2867"/>
      <c r="F999" s="2867"/>
      <c r="G999" s="2867"/>
      <c r="H999" s="2867"/>
      <c r="I999" s="2867"/>
      <c r="J999" s="2867"/>
      <c r="K999" s="2867"/>
      <c r="L999" s="2867"/>
      <c r="M999" s="2867"/>
      <c r="N999" s="2106"/>
      <c r="O999" s="2106"/>
      <c r="P999" s="2106"/>
      <c r="Q999" s="2109"/>
    </row>
    <row r="1000" spans="1:17" ht="13.9">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9">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3.9">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9">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3.9">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67.5">
      <c r="A1006" s="2860" t="str">
        <f>'Part VII-Threshold Criteria'!A155</f>
        <v>Not Applicable to Dogwood Trail II</v>
      </c>
      <c r="B1006" s="2860"/>
      <c r="C1006" s="2860"/>
      <c r="D1006" s="2860"/>
      <c r="E1006" s="2860"/>
      <c r="F1006" s="2860"/>
      <c r="G1006" s="2860"/>
      <c r="H1006" s="2860"/>
      <c r="I1006" s="2860"/>
      <c r="J1006" s="2860"/>
      <c r="K1006" s="2860"/>
      <c r="L1006" s="2860"/>
      <c r="M1006" s="2860"/>
      <c r="N1006" s="2860"/>
      <c r="O1006" s="2860"/>
      <c r="P1006" s="2860"/>
      <c r="Q1006" s="2860"/>
    </row>
    <row r="1007" spans="1:17" ht="13.9">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9">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9">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9">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3.9">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v>
      </c>
      <c r="B1013" s="2860"/>
      <c r="C1013" s="2860"/>
      <c r="D1013" s="2860"/>
      <c r="E1013" s="2860"/>
      <c r="F1013" s="2860"/>
      <c r="G1013" s="2860"/>
      <c r="H1013" s="2860"/>
      <c r="I1013" s="2860"/>
      <c r="J1013" s="2860"/>
      <c r="K1013" s="2860"/>
      <c r="L1013" s="2860"/>
      <c r="M1013" s="2860"/>
      <c r="N1013" s="2860"/>
      <c r="O1013" s="2860"/>
      <c r="P1013" s="2860"/>
      <c r="Q1013" s="2860"/>
    </row>
    <row r="1014" spans="1:17" ht="13.9">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9">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9">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7002</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9">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9">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3.9">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 xml:space="preserve">Applicant AGREES that the property will comply with Georgia State Minimum Standard Energy Code and will obtain Earth Craft House Multifamily certification. The Earth Craft House Multifamily scoresheet included  a score exceeding the required minimum score of 100. </v>
      </c>
      <c r="B1025" s="2860"/>
      <c r="C1025" s="2860"/>
      <c r="D1025" s="2860"/>
      <c r="E1025" s="2860"/>
      <c r="F1025" s="2860"/>
      <c r="G1025" s="2860"/>
      <c r="H1025" s="2860"/>
      <c r="I1025" s="2860"/>
      <c r="J1025" s="2860"/>
      <c r="K1025" s="2860"/>
      <c r="L1025" s="2860"/>
      <c r="M1025" s="2860"/>
      <c r="N1025" s="2860"/>
      <c r="O1025" s="2860"/>
      <c r="P1025" s="2860"/>
      <c r="Q1025" s="2860"/>
    </row>
    <row r="1026" spans="1:17" ht="13.9">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9">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9">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9">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9">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7003</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9">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3.9">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3.9">
      <c r="A1035" s="2871"/>
      <c r="B1035" s="2106" t="s">
        <v>6809</v>
      </c>
      <c r="C1035" s="2106"/>
      <c r="D1035" s="2860"/>
      <c r="E1035" s="2860"/>
      <c r="F1035" s="2860"/>
      <c r="G1035" s="2860"/>
      <c r="H1035" s="2106"/>
      <c r="I1035" s="2106"/>
      <c r="J1035" s="2106"/>
      <c r="K1035" s="2611"/>
      <c r="L1035" s="2897">
        <f>ROUNDUP('Part V-Revenues &amp; Expenses'!$P$67*M1035,0)</f>
        <v>2</v>
      </c>
      <c r="M1035" s="2898">
        <f>'DCA Underwriting Assumptions'!$Q$122</f>
        <v>0.05</v>
      </c>
      <c r="N1035" s="2106"/>
      <c r="O1035" s="2873"/>
      <c r="P1035" s="2859">
        <f>'Part VII-Threshold Criteria'!P184</f>
        <v>2</v>
      </c>
      <c r="Q1035" s="2859"/>
    </row>
    <row r="1036" spans="1:17" ht="15" customHeight="1">
      <c r="A1036" s="2871"/>
      <c r="B1036" s="2107"/>
      <c r="C1036" s="2106"/>
      <c r="D1036" s="2860" t="s">
        <v>6810</v>
      </c>
      <c r="E1036" s="2860"/>
      <c r="F1036" s="2860"/>
      <c r="G1036" s="2860"/>
      <c r="H1036" s="2860"/>
      <c r="I1036" s="2860"/>
      <c r="J1036" s="2860"/>
      <c r="K1036" s="2611"/>
      <c r="L1036" s="2897">
        <f>ROUNDUP(L1035*M1036,0)</f>
        <v>1</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3.9">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310.5">
      <c r="A1039" s="2860" t="str">
        <f>'Part VII-Threshold Criteria'!A188</f>
        <v xml:space="preserve">Dogwood Trail Apartments II will comply with DCA Accessibility Standards and will engage Zeffert &amp; Associates as the DCA Qualified Consultant for accessibilty review. </v>
      </c>
      <c r="B1039" s="2860"/>
      <c r="C1039" s="2860"/>
      <c r="D1039" s="2860"/>
      <c r="E1039" s="2860"/>
      <c r="F1039" s="2860"/>
      <c r="G1039" s="2860"/>
      <c r="H1039" s="2860"/>
      <c r="I1039" s="2860"/>
      <c r="J1039" s="2860"/>
      <c r="K1039" s="2860"/>
      <c r="L1039" s="2860"/>
      <c r="M1039" s="2860"/>
      <c r="N1039" s="2860"/>
      <c r="O1039" s="2860"/>
      <c r="P1039" s="2860"/>
      <c r="Q1039" s="2860"/>
    </row>
    <row r="1040" spans="1:17" ht="13.9">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9">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9">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7004</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9">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3.9">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9">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3.9">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Architectural Design &amp; Quality Standards will be met. The options selected above are included in the site development plan submitted. The cost for Broadband Access in the community building is included in Telephone costs in the operating budget.</v>
      </c>
      <c r="B1054" s="2860"/>
      <c r="C1054" s="2860"/>
      <c r="D1054" s="2860"/>
      <c r="E1054" s="2860"/>
      <c r="F1054" s="2860"/>
      <c r="G1054" s="2860"/>
      <c r="H1054" s="2860"/>
      <c r="I1054" s="2860"/>
      <c r="J1054" s="2860"/>
      <c r="K1054" s="2860"/>
      <c r="L1054" s="2860"/>
      <c r="M1054" s="2860"/>
      <c r="N1054" s="2860"/>
      <c r="O1054" s="2860"/>
      <c r="P1054" s="2860"/>
      <c r="Q1054" s="2860"/>
    </row>
    <row r="1055" spans="1:17" ht="13.9">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9">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3.9">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9">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9">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Yes - see Comment</v>
      </c>
      <c r="Q1063" s="2106"/>
    </row>
    <row r="1064" spans="1:17" ht="13.9">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3.9">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3.9">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All experience and compliance information was submitted via Pre-Application 2023PA-033.  The project team received a designation of "Qualified". No changes to the project team have occurred since the pre-application submission. The Qualification Determination is included in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3.9">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9">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9">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9">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7005</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7006</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9">
      <c r="A1076" s="2871" t="s">
        <v>698</v>
      </c>
      <c r="B1076" s="2106" t="s">
        <v>7007</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7008</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3.9">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40.5">
      <c r="A1079" s="2860" t="str">
        <f>'Part VII-Threshold Criteria'!A228</f>
        <v>Not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3.9">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9">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9">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9">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3.9">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9">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9">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3.9">
      <c r="A1093" s="2106"/>
      <c r="B1093" s="2873" t="s">
        <v>6832</v>
      </c>
      <c r="C1093" s="2107" t="s">
        <v>7009</v>
      </c>
      <c r="D1093" s="2106"/>
      <c r="E1093" s="2867"/>
      <c r="F1093" s="2867"/>
      <c r="G1093" s="2867"/>
      <c r="H1093" s="2867"/>
      <c r="I1093" s="2867"/>
      <c r="J1093" s="2867"/>
      <c r="K1093" s="2867"/>
      <c r="L1093" s="2867"/>
      <c r="M1093" s="2867"/>
      <c r="N1093" s="2867"/>
      <c r="O1093" s="2106"/>
      <c r="P1093" s="2106"/>
      <c r="Q1093" s="2106"/>
    </row>
    <row r="1094" spans="1:17" ht="13.9">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0.5">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3.9">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9">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9">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9">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9">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3.9">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3.9">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3.9">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3.9">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3.9">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40.5">
      <c r="A1107" s="2860" t="str">
        <f>'Part VII-Threshold Criteria'!A256</f>
        <v>Not Applicable</v>
      </c>
      <c r="B1107" s="2860"/>
      <c r="C1107" s="2860"/>
      <c r="D1107" s="2860"/>
      <c r="E1107" s="2860"/>
      <c r="F1107" s="2860"/>
      <c r="G1107" s="2860"/>
      <c r="H1107" s="2860"/>
      <c r="I1107" s="2860"/>
      <c r="J1107" s="2860"/>
      <c r="K1107" s="2860"/>
      <c r="L1107" s="2860"/>
      <c r="M1107" s="2860"/>
      <c r="N1107" s="2860"/>
      <c r="O1107" s="2860"/>
      <c r="P1107" s="2860"/>
      <c r="Q1107" s="2860"/>
    </row>
    <row r="1108" spans="1:17" ht="13.9">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9">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9">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9">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3.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9">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3.9">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3.9">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81">
      <c r="A1119" s="2860" t="str">
        <f>'Part VII-Threshold Criteria'!A268</f>
        <v>Not Applicable. The project site is vacant.</v>
      </c>
      <c r="B1119" s="2860"/>
      <c r="C1119" s="2860"/>
      <c r="D1119" s="2860"/>
      <c r="E1119" s="2860"/>
      <c r="F1119" s="2860"/>
      <c r="G1119" s="2860"/>
      <c r="H1119" s="2860"/>
      <c r="I1119" s="2860"/>
      <c r="J1119" s="2860"/>
      <c r="K1119" s="2860"/>
      <c r="L1119" s="2860"/>
      <c r="M1119" s="2860"/>
      <c r="N1119" s="2860"/>
      <c r="O1119" s="2860"/>
      <c r="P1119" s="2860"/>
      <c r="Q1119" s="2860"/>
    </row>
    <row r="1120" spans="1:17" ht="13.9">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9">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9">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9">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3.9">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3.9">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189">
      <c r="A1137" s="2860" t="str">
        <f>'Part VII-Threshold Criteria'!A286</f>
        <v>Applicant agrees to prepare and submit an AFHMP meeting the above stated requirements.</v>
      </c>
      <c r="B1137" s="2860"/>
      <c r="C1137" s="2860"/>
      <c r="D1137" s="2860"/>
      <c r="E1137" s="2860"/>
      <c r="F1137" s="2860"/>
      <c r="G1137" s="2860"/>
      <c r="H1137" s="2860"/>
      <c r="I1137" s="2860"/>
      <c r="J1137" s="2860"/>
      <c r="K1137" s="2860"/>
      <c r="L1137" s="2860"/>
      <c r="M1137" s="2860"/>
      <c r="N1137" s="2860"/>
      <c r="O1137" s="2860"/>
      <c r="P1137" s="2860"/>
      <c r="Q1137" s="2860"/>
    </row>
    <row r="1138" spans="1:64" ht="13.9">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9">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9">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9">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3.9">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Dogwood Trail Apartments II is an efficient opportunity to complete the planned revitalization of a formerly blighted property. The proposed development has the support of the Albany  GICH Team, city council and a dedicated Transformation Team.</v>
      </c>
      <c r="B1144" s="2860"/>
      <c r="C1144" s="2860"/>
      <c r="D1144" s="2860"/>
      <c r="E1144" s="2860"/>
      <c r="F1144" s="2860"/>
      <c r="G1144" s="2860"/>
      <c r="H1144" s="2860"/>
      <c r="I1144" s="2860"/>
      <c r="J1144" s="2860"/>
      <c r="K1144" s="2860"/>
      <c r="L1144" s="2860"/>
      <c r="M1144" s="2860"/>
      <c r="N1144" s="2860"/>
      <c r="O1144" s="2860"/>
      <c r="P1144" s="2860"/>
      <c r="Q1144" s="2860"/>
    </row>
    <row r="1145" spans="1:64" ht="13.9">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9">
      <c r="A1152" s="2198" t="str">
        <f>CONCATENATE("PART EIGHT - SCORING CRITERIA","  -  ",'Part I-Project Identification'!$O$7," ",'Part I-Project Identification'!$F$25,", ",'Part I-Project Identification'!F1182,", ",'Part I-Project Identification'!J1182," County")</f>
        <v>PART EIGHT - SCORING CRITERIA  -  2023-0 Dogwood Trail Apartments II,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9">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9">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9">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70.5</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9">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3.9">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3.9">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3.9">
      <c r="A1161" s="2909" t="s">
        <v>6135</v>
      </c>
      <c r="B1161" s="2199"/>
      <c r="C1161" s="2199"/>
      <c r="D1161" s="2199"/>
      <c r="E1161" s="2199"/>
      <c r="F1161" s="2199"/>
      <c r="G1161" s="2910"/>
      <c r="H1161" s="2199"/>
      <c r="I1161" s="2910"/>
      <c r="J1161" s="2910"/>
      <c r="K1161" s="2910"/>
      <c r="L1161" s="2910"/>
      <c r="M1161" s="2911" t="s">
        <v>7010</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9">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 xml:space="preserve">The site location exceeds the maximum allowable 20 points with 26.5. The project is located within the East Albany Revitalization Plan with a concerted effort to remove blight in the area.  The first phase of the proposed development, Dogwood Trail Apartments, is complete and has had a positive impact on the surrounding neighborhood by encouraging new investment.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5">
      <c r="A1165" s="2913" t="s">
        <v>496</v>
      </c>
      <c r="B1165" s="2403" t="s">
        <v>4037</v>
      </c>
      <c r="C1165" s="2406"/>
      <c r="D1165" s="2406"/>
      <c r="E1165" s="2916">
        <f>'Part VIII Scoring Criteria'!E14</f>
        <v>4</v>
      </c>
      <c r="F1165" s="2913" t="str">
        <f>'Part VIII Scoring Criteria'!F14</f>
        <v xml:space="preserve">The site is within one mile (0.8 miles) walking distance of a transit hub served by three routes making the site eligible for 4 points. Additionally, there is a second stop served by a single route 0.2 miles walking distance from the site.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364.5">
      <c r="A1166" s="2913" t="s">
        <v>720</v>
      </c>
      <c r="B1166" s="2403" t="s">
        <v>3338</v>
      </c>
      <c r="C1166" s="2406"/>
      <c r="D1166" s="2406"/>
      <c r="E1166" s="2916">
        <f>'Part VIII Scoring Criteria'!E15</f>
        <v>1.5</v>
      </c>
      <c r="F1166" s="2913" t="str">
        <f>'Part VIII Scoring Criteria'!F15</f>
        <v>Turner Elementary School and Dougherty Comprehensive High School both received "Beating the Odds" designation in 2018. The two schools exceed the required 7 grades for 1.5 points.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5">
      <c r="A1167" s="2913" t="s">
        <v>280</v>
      </c>
      <c r="B1167" s="2403" t="s">
        <v>3394</v>
      </c>
      <c r="C1167" s="2406"/>
      <c r="D1167" s="2406"/>
      <c r="E1167" s="2916">
        <f>'Part VIII Scoring Criteria'!E16</f>
        <v>7</v>
      </c>
      <c r="F1167" s="2913" t="str">
        <f>'Part VIII Scoring Criteria'!F16</f>
        <v xml:space="preserve">Dogwood Trail II is located within the area targeted by the East Albany Revitalization Plan. The plan meets all the requisite requirements as oulined in in the QAP and was adopted on 11/14/2017. The City of Albany has been diligently implementing the East Albany Revitalzation Plan.  The City of Albany has made considerable infrastructure investments within 0.5 miles of the site in the amount of $751,954 to further the East Albany Revitalization Plan and improve quality of life. A portion of those funds have been spend directly adjacent to Phase I of the development with a renovated/upgraded public transit stop serving the property, repaving of Pineview Avenue Rd andMarie Rd adjacent to the property and the planned repaving of East Rd along the east border of the site. Sidewalks have been added from East Rd to School Rd providing youth a safe walking route to school. Third Pary Capital Investment is doumented with over $6.4 million of private funds invested just north of the property across Clark Avenue.
     Census Tract 1.01 is a QCT in 2023.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09.5">
      <c r="A1168" s="2913" t="s">
        <v>401</v>
      </c>
      <c r="B1168" s="2403" t="s">
        <v>3395</v>
      </c>
      <c r="C1168" s="2406"/>
      <c r="D1168" s="2406"/>
      <c r="E1168" s="2914" t="str">
        <f>'Part VIII Scoring Criteria'!E17</f>
        <v>n/a</v>
      </c>
      <c r="F1168" s="2913" t="str">
        <f>'Part VIII Scoring Criteria'!F17</f>
        <v xml:space="preserve">A Community Based Team has been assembled to address the needs of the neighborhood. The team is composed of leaders from government, healthcare, education, employment, transportation and residents of the neighborhood. The Transformation Team has the support of local government. Dogwood Trail II was selected as the City of Albany's GICH project for 2023 an a member of the GICH team is represented on the Transformation Team along with the elected official from the project district. </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Not Applicable. Dogwood Trail Apartments II is claiming points under Revitalization/Redevelopment Plans.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0.5">
      <c r="A1170" s="2913" t="s">
        <v>4040</v>
      </c>
      <c r="B1170" s="2403" t="s">
        <v>3261</v>
      </c>
      <c r="C1170" s="2406"/>
      <c r="D1170" s="2406"/>
      <c r="E1170" s="2914">
        <f>'Part VIII Scoring Criteria'!E19</f>
        <v>0</v>
      </c>
      <c r="F1170" s="2913" t="str">
        <f>'Part VIII Scoring Criteria'!F19</f>
        <v>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09.5">
      <c r="A1171" s="2913" t="s">
        <v>4052</v>
      </c>
      <c r="B1171" s="2403" t="s">
        <v>4041</v>
      </c>
      <c r="C1171" s="2406"/>
      <c r="D1171" s="2406"/>
      <c r="E1171" s="2914">
        <f>'Part VIII Scoring Criteria'!E20</f>
        <v>3</v>
      </c>
      <c r="F1171" s="2913" t="str">
        <f>'Part VIII Scoring Criteria'!F20</f>
        <v>Dogwood Trail Apartments II is the second phase of Dogwood Trail Apartments. Site Control for Dogwood Trail II was obtained on 9/30/19 with the purchase of the site before closing the partnership on 12/6/19.  The master plan is included in the application package showing Phase I, Phase II and the area to the north of Phase II which has been reserved for commercial. Dogwood Trail Apartments (Phase I) placed in service on 12/31/2020.</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35">
      <c r="A1172" s="2913" t="s">
        <v>6242</v>
      </c>
      <c r="B1172" s="2403" t="s">
        <v>4042</v>
      </c>
      <c r="C1172" s="2406"/>
      <c r="D1172" s="2406"/>
      <c r="E1172" s="2914">
        <f>'Part VIII Scoring Criteria'!E21</f>
        <v>0</v>
      </c>
      <c r="F1172" s="2913" t="str">
        <f>'Part VIII Scoring Criteria'!F21</f>
        <v>Not applicable as Dogwood Trail Apartments II is a Phased Development</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5.5">
      <c r="A1173" s="2913" t="s">
        <v>6636</v>
      </c>
      <c r="B1173" s="2403" t="s">
        <v>6548</v>
      </c>
      <c r="C1173" s="2406"/>
      <c r="D1173" s="2406"/>
      <c r="E1173" s="2914">
        <f>'Part VIII Scoring Criteria'!E22</f>
        <v>0</v>
      </c>
      <c r="F1173" s="2913" t="str">
        <f>'Part VIII Scoring Criteria'!F22</f>
        <v>Not Applicable. Dogwood Trail Apartments II is located outside the Atlanta Metro Pool</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378">
      <c r="A1174" s="2913" t="s">
        <v>6638</v>
      </c>
      <c r="B1174" s="2403" t="s">
        <v>6637</v>
      </c>
      <c r="C1174" s="2406"/>
      <c r="D1174" s="2406"/>
      <c r="E1174" s="2914">
        <f>'Part VIII Scoring Criteria'!E23</f>
        <v>2</v>
      </c>
      <c r="F1174" s="2913" t="str">
        <f>'Part VIII Scoring Criteria'!F23</f>
        <v>Dogwood Trail Apartments II agrees to engage QB's in an amount equal to approximately 5% of total constuction hard costs as certified by Independent Auditor Report in the Final Allocation Application.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37.5">
      <c r="A1175" s="2913" t="s">
        <v>3368</v>
      </c>
      <c r="B1175" s="2403" t="s">
        <v>6554</v>
      </c>
      <c r="C1175" s="2406"/>
      <c r="D1175" s="2406"/>
      <c r="E1175" s="2914">
        <f>'Part VIII Scoring Criteria'!E24</f>
        <v>2</v>
      </c>
      <c r="F1175" s="2913" t="str">
        <f>'Part VIII Scoring Criteria'!F24</f>
        <v>Dogwood Trail Apartments II commits to accept resident services coordination from an entity certified as a "3rd Party Resident Services Coordination Contractor" by CORES or other DCA-approved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378">
      <c r="A1176" s="2913" t="s">
        <v>3372</v>
      </c>
      <c r="B1176" s="2403" t="s">
        <v>3396</v>
      </c>
      <c r="C1176" s="2406"/>
      <c r="D1176" s="2406"/>
      <c r="E1176" s="2914">
        <f>'Part VIII Scoring Criteria'!E25</f>
        <v>2</v>
      </c>
      <c r="F1176" s="2913" t="str">
        <f>'Part VIII Scoring Criteria'!F25</f>
        <v>Dogwood Trail Apartments II was selected by the City of Albany GICH Team as the 2023 GICH Development after a competitive process. The GICH letter and city's letter of acceptance and support are included in the application.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5">
      <c r="A1177" s="2913" t="s">
        <v>3375</v>
      </c>
      <c r="B1177" s="2403" t="s">
        <v>3397</v>
      </c>
      <c r="C1177" s="2406"/>
      <c r="D1177" s="2406"/>
      <c r="E1177" s="2914">
        <f>'Part VIII Scoring Criteria'!E26</f>
        <v>0</v>
      </c>
      <c r="F1177" s="2913" t="str">
        <f>'Part VIII Scoring Criteria'!F26</f>
        <v>Not Applicable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0.5">
      <c r="A1178" s="2913" t="s">
        <v>3376</v>
      </c>
      <c r="B1178" s="2403" t="s">
        <v>3398</v>
      </c>
      <c r="C1178" s="2406"/>
      <c r="D1178" s="2406"/>
      <c r="E1178" s="2914">
        <f>'Part VIII Scoring Criteria'!E27</f>
        <v>0</v>
      </c>
      <c r="F1178" s="2913" t="str">
        <f>'Part VIII Scoring Criteria'!F27</f>
        <v>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2</v>
      </c>
      <c r="F1179" s="2913" t="str">
        <f>'Part VIII Scoring Criteria'!F28</f>
        <v>Applicant has had no negative prior performanc related to DCA Section 811.</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Not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0.5">
      <c r="A1181" s="2913" t="s">
        <v>3802</v>
      </c>
      <c r="B1181" s="2403" t="s">
        <v>6552</v>
      </c>
      <c r="C1181" s="2406"/>
      <c r="D1181" s="2406"/>
      <c r="E1181" s="2914">
        <f>'Part VIII Scoring Criteria'!E30</f>
        <v>0</v>
      </c>
      <c r="F1181" s="2913" t="str">
        <f>'Part VIII Scoring Criteria'!F30</f>
        <v>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6932</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9">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6944</v>
      </c>
      <c r="B1185" s="3917"/>
      <c r="C1185" s="3917"/>
      <c r="D1185" s="3917"/>
      <c r="E1185" s="2397"/>
      <c r="F1185" s="2463" t="s">
        <v>6880</v>
      </c>
      <c r="G1185" s="2463"/>
      <c r="H1185" s="2463"/>
      <c r="I1185" s="2463"/>
      <c r="J1185" s="2198" t="s">
        <v>6139</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9">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9">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9">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9">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9">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3.9">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3.9">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3.9">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7011</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9">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3.9">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9">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7012</v>
      </c>
      <c r="B1201" s="2463"/>
      <c r="C1201" s="2463"/>
      <c r="D1201" s="2463"/>
      <c r="E1201" s="2463"/>
      <c r="F1201" s="2312" t="s">
        <v>3178</v>
      </c>
      <c r="G1201" s="2463" t="s">
        <v>7013</v>
      </c>
      <c r="H1201" s="2463"/>
      <c r="I1201" s="2463"/>
      <c r="J1201" s="2312" t="s">
        <v>3178</v>
      </c>
      <c r="K1201" s="2923" t="s">
        <v>7014</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9">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9">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9">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9">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9">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9">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9">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9">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9">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9">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9">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9">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9">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9">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9">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9">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9">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9">
      <c r="A1219" s="2540" t="s">
        <v>1841</v>
      </c>
      <c r="B1219" s="2929" t="s">
        <v>6876</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9">
      <c r="A1220" s="2540"/>
      <c r="B1220" s="2931"/>
      <c r="C1220" s="2613" t="s">
        <v>3812</v>
      </c>
      <c r="D1220" s="2199"/>
      <c r="E1220" s="2199"/>
      <c r="F1220" s="2199"/>
      <c r="G1220" s="2199" t="s">
        <v>3813</v>
      </c>
      <c r="H1220" s="2199"/>
      <c r="I1220" s="2199"/>
      <c r="J1220" s="2932">
        <f>'Part V-Revenues &amp; Expenses'!$B$50</f>
        <v>58</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9">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9">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9">
      <c r="A1223" s="2540" t="s">
        <v>1843</v>
      </c>
      <c r="B1223" s="2929" t="s">
        <v>6879</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3.9">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9">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9">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9">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9">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9">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9">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9">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 xml:space="preserve">The site location exceeds the maximum allowable 20 points with 26.5. The project is located within the East Albany Revitalization Plan with a concerted effort to remove blight in the area.  The first phase of the proposed development, Dogwood Trail Apartments, is complete and has had a positive impact on the surrounding neighborhood by encouraging new investment.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3.9">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9">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9">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9">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3.9">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4</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3.9">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5">
      <c r="A1240" s="2397"/>
      <c r="B1240" s="2942"/>
      <c r="C1240" s="2400" t="s">
        <v>6847</v>
      </c>
      <c r="D1240" s="2397"/>
      <c r="E1240" s="2397"/>
      <c r="F1240" s="2199">
        <f>'Part VIII Scoring Criteria'!F89</f>
        <v>31.578063</v>
      </c>
      <c r="G1240" s="2199"/>
      <c r="H1240" s="2199"/>
      <c r="I1240" s="2199"/>
      <c r="J1240" s="2199">
        <f>'Part VIII Scoring Criteria'!J89</f>
        <v>-84.107658000000001</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5">
      <c r="A1241" s="2942"/>
      <c r="B1241" s="2406"/>
      <c r="C1241" s="2400" t="s">
        <v>6848</v>
      </c>
      <c r="D1241" s="2397"/>
      <c r="E1241" s="2397"/>
      <c r="F1241" s="2199">
        <f>'Part VIII Scoring Criteria'!F90</f>
        <v>31.574738</v>
      </c>
      <c r="G1241" s="2199"/>
      <c r="H1241" s="2199"/>
      <c r="I1241" s="2199"/>
      <c r="J1241" s="2199">
        <f>'Part VIII Scoring Criteria'!J90</f>
        <v>-84.097638000000003</v>
      </c>
      <c r="K1241" s="2199"/>
      <c r="L1241" s="2199"/>
      <c r="M1241" s="2199"/>
      <c r="N1241" s="2468"/>
      <c r="O1241" s="2944">
        <f>'Part VIII Scoring Criteria'!O90</f>
        <v>0.8</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5">
      <c r="A1242" s="2406"/>
      <c r="B1242" s="2397" t="s">
        <v>6885</v>
      </c>
      <c r="C1242" s="2397"/>
      <c r="D1242" s="2397"/>
      <c r="E1242" s="2397"/>
      <c r="F1242" s="2342" t="s">
        <v>6849</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5">
      <c r="A1243" s="2406"/>
      <c r="B1243" s="2199" t="str">
        <f>'Part VIII Scoring Criteria'!B92</f>
        <v>Albany Transit System</v>
      </c>
      <c r="C1243" s="2199"/>
      <c r="D1243" s="2199"/>
      <c r="E1243" s="2199"/>
      <c r="F1243" s="2947">
        <f>'Part VIII Scoring Criteria'!F92</f>
        <v>2293021527</v>
      </c>
      <c r="G1243" s="2199" t="str">
        <f>'Part VIII Scoring Criteria'!G92</f>
        <v>atsdispatch@albany.ga.us</v>
      </c>
      <c r="H1243" s="2199"/>
      <c r="I1243" s="2199"/>
      <c r="J1243" s="2199" t="str">
        <f>'Part VIII Scoring Criteria'!J92</f>
        <v>https://www.albanyga.gov/about-us/city-departments/albany-transit-system</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9">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9">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4</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7015</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9">
      <c r="A1247" s="2500" t="s">
        <v>1275</v>
      </c>
      <c r="B1247" s="2950" t="s">
        <v>1846</v>
      </c>
      <c r="C1247" s="2199" t="s">
        <v>7016</v>
      </c>
      <c r="D1247" s="2199"/>
      <c r="E1247" s="2199"/>
      <c r="F1247" s="2199"/>
      <c r="G1247" s="2199"/>
      <c r="H1247" s="2199"/>
      <c r="I1247" s="2199"/>
      <c r="J1247" s="2438"/>
      <c r="K1247" s="2438"/>
      <c r="L1247" s="2438"/>
      <c r="M1247" s="2312">
        <v>5</v>
      </c>
      <c r="N1247" s="2911"/>
      <c r="O1247" s="2908">
        <f>'Part VIII Scoring Criteria'!O96</f>
        <v>4</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9">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9">
      <c r="A1249" s="2464"/>
      <c r="B1249" s="2956" t="s">
        <v>1844</v>
      </c>
      <c r="C1249" s="2199" t="s">
        <v>7017</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9">
      <c r="A1250" s="2500" t="s">
        <v>1275</v>
      </c>
      <c r="B1250" s="2956" t="s">
        <v>1846</v>
      </c>
      <c r="C1250" s="2199" t="s">
        <v>7018</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7019</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9">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5">
      <c r="A1253" s="2406" t="str">
        <f>'Part VIII Scoring Criteria'!A102</f>
        <v xml:space="preserve">The site is within one mile (0.8 miles) walking distance of a transit hub served by three routes making the site eligible for 4 points. Additionally, there is a second stop served by a single route 0.2 miles walking distance from the site.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3.9">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9">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9">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9">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1.5</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7020</v>
      </c>
      <c r="G1258" s="2962"/>
      <c r="H1258" s="2962" t="s">
        <v>7021</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9">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9">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40.5">
      <c r="A1261" s="2397"/>
      <c r="B1261" s="2438" t="str">
        <f>'Part VIII Scoring Criteria'!B110</f>
        <v>Turner Elementary School</v>
      </c>
      <c r="C1261" s="2438"/>
      <c r="D1261" s="2438"/>
      <c r="E1261" s="2438"/>
      <c r="F1261" s="2438" t="str">
        <f>'Part VIII Scoring Criteria'!F110</f>
        <v>No</v>
      </c>
      <c r="G1261" s="2438"/>
      <c r="H1261" s="2438" t="str">
        <f>'Part VIII Scoring Criteria'!H110</f>
        <v>Yes</v>
      </c>
      <c r="I1261" s="2438"/>
      <c r="J1261" s="2438" t="str">
        <f>'Part VIII Scoring Criteria'!J110</f>
        <v>No</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0.5">
      <c r="A1262" s="2397"/>
      <c r="B1262" s="2438" t="str">
        <f>'Part VIII Scoring Criteria'!B111</f>
        <v>Albany Middle School</v>
      </c>
      <c r="C1262" s="2438"/>
      <c r="D1262" s="2438"/>
      <c r="E1262" s="2438"/>
      <c r="F1262" s="2438" t="str">
        <f>'Part VIII Scoring Criteria'!F111</f>
        <v>No</v>
      </c>
      <c r="G1262" s="2438"/>
      <c r="H1262" s="2438" t="str">
        <f>'Part VIII Scoring Criteria'!H111</f>
        <v>No</v>
      </c>
      <c r="I1262" s="2438"/>
      <c r="J1262" s="2438" t="str">
        <f>'Part VIII Scoring Criteria'!J111</f>
        <v>No</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81">
      <c r="A1263" s="2397"/>
      <c r="B1263" s="2438" t="str">
        <f>'Part VIII Scoring Criteria'!B112</f>
        <v>Dougherty Comprehensive High School</v>
      </c>
      <c r="C1263" s="2438"/>
      <c r="D1263" s="2438"/>
      <c r="E1263" s="2438"/>
      <c r="F1263" s="2438" t="str">
        <f>'Part VIII Scoring Criteria'!F112</f>
        <v>No</v>
      </c>
      <c r="G1263" s="2438"/>
      <c r="H1263" s="2438" t="str">
        <f>'Part VIII Scoring Criteria'!H112</f>
        <v>Yes</v>
      </c>
      <c r="I1263" s="2438"/>
      <c r="J1263" s="2438" t="str">
        <f>'Part VIII Scoring Criteria'!J112</f>
        <v>No</v>
      </c>
      <c r="K1263" s="2438"/>
      <c r="L1263" s="2199" t="str">
        <f>'Part VIII Scoring Criteria'!L112</f>
        <v>No</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9">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9">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9">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9">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364.5">
      <c r="A1268" s="2406" t="str">
        <f>'Part VIII Scoring Criteria'!A117</f>
        <v>Turner Elementary School and Dougherty Comprehensive High School both received "Beating the Odds" designation in 2018. The two schools exceed the required 7 grades for 1.5 points.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3.9">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9">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9">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9">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9">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9">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9">
      <c r="A1275" s="2500"/>
      <c r="B1275" s="2397"/>
      <c r="C1275" s="2199" t="s">
        <v>7022</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14,15,16</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9,11,31</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18-25</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Tables on pgs 25-35</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f>'Part VIII Scoring Criteria'!M129</f>
        <v>61</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9">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9">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7023</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7024</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9">
      <c r="A1285" s="2540"/>
      <c r="B1285" s="2926"/>
      <c r="C1285" s="2397" t="s">
        <v>7025</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9">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9">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5">
      <c r="A1288" s="2406" t="str">
        <f>'Part VIII Scoring Criteria'!A137</f>
        <v xml:space="preserve">Dogwood Trail II is located within the area targeted by the East Albany Revitalization Plan. The plan meets all the requisite requirements as oulined in in the QAP and was adopted on 11/14/2017. The City of Albany has been diligently implementing the East Albany Revitalzation Plan.  The City of Albany has made considerable infrastructure investments within 0.5 miles of the site in the amount of $751,954 to further the East Albany Revitalization Plan and improve quality of life. A portion of those funds have been spend directly adjacent to Phase I of the development with a renovated/upgraded public transit stop serving the property, repaving of Pineview Avenue Rd andMarie Rd adjacent to the property and the planned repaving of East Rd along the east border of the site. Sidewalks have been added from East Rd to School Rd providing youth a safe walking route to school. Third Pary Capital Investment is doumented with over $6.4 million of private funds invested just north of the property across Clark Avenue.
     Census Tract 1.01 is a QCT in 2023.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3.9">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9">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9">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9">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9">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3.9">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9">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Yes</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Yes</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9">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09.5">
      <c r="A1298" s="2406" t="str">
        <f>'Part VIII Scoring Criteria'!A147</f>
        <v xml:space="preserve">A Community Based Team has been assembled to address the needs of the neighborhood. The team is composed of leaders from government, healthcare, education, employment, transportation and residents of the neighborhood. The Transformation Team has the support of local government. Dogwood Trail II was selected as the City of Albany's GICH project for 2023 an a member of the GICH team is represented on the Transformation Team along with the elected official from the project district. </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3.9">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9">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9">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9">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9">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9">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9">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9">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9">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9">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3.9">
      <c r="A1309" s="2397"/>
      <c r="B1309" s="2397"/>
      <c r="C1309" s="2976" t="s">
        <v>6219</v>
      </c>
      <c r="D1309" s="2397"/>
      <c r="E1309" s="2977" t="s">
        <v>6218</v>
      </c>
      <c r="F1309" s="2977"/>
      <c r="G1309" s="2977"/>
      <c r="H1309" s="2977"/>
      <c r="I1309" s="2342" t="s">
        <v>6893</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3.9">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3.9">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3.9">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9">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9">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9">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89">
      <c r="A1316" s="2406" t="str">
        <f>'Part VIII Scoring Criteria'!A165</f>
        <v>Not Applicable. Dogwood Trail Apartments II is claiming points under Revitalization/Redevelopment Plans.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9">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3.9">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9">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9">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9">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9">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9">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9">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9">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3.9">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9">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9">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9">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3.9">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9">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9">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9">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9">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0.5">
      <c r="A1335" s="2406" t="str">
        <f>'Part VIII Scoring Criteria'!A184</f>
        <v>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3.9">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9">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9">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9">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9">
      <c r="A1340" s="2464" t="s">
        <v>1604</v>
      </c>
      <c r="B1340" s="2465" t="s">
        <v>4036</v>
      </c>
      <c r="C1340" s="2397"/>
      <c r="D1340" s="2397"/>
      <c r="E1340" s="2929" t="str">
        <f>IF(AND(O1340&gt;0,NOT($F$31="New Supply")), "Ineligible to score in this section, not New Supply!","")</f>
        <v>Ineligible to score in this section, not New Supply!</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3</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6857</v>
      </c>
      <c r="H1341" s="2397" t="s">
        <v>574</v>
      </c>
      <c r="I1341" s="2397"/>
      <c r="J1341" s="2397"/>
      <c r="K1341" s="2466" t="s">
        <v>6929</v>
      </c>
      <c r="L1341" s="2466"/>
      <c r="M1341" s="2466"/>
      <c r="N1341" s="2935"/>
      <c r="O1341" s="2500" t="str">
        <f>'Part VIII Scoring Criteria'!O190</f>
        <v>Yes</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9">
      <c r="A1342" s="2950"/>
      <c r="B1342" s="2950"/>
      <c r="C1342" s="2397"/>
      <c r="D1342" s="2398" t="s">
        <v>6257</v>
      </c>
      <c r="E1342" s="2397"/>
      <c r="F1342" s="2397"/>
      <c r="G1342" s="2312" t="str">
        <f>'Part VIII Scoring Criteria'!G191</f>
        <v>2018-058</v>
      </c>
      <c r="H1342" s="2199" t="str">
        <f>'Part VIII Scoring Criteria'!H191</f>
        <v>Dogwood Trail Apartments</v>
      </c>
      <c r="I1342" s="2199"/>
      <c r="J1342" s="2199"/>
      <c r="K1342" s="2986">
        <f>'Part VIII Scoring Criteria'!K191</f>
        <v>43805</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9">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9">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9">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09.5">
      <c r="A1346" s="2406" t="str">
        <f>'Part VIII Scoring Criteria'!A195</f>
        <v>Dogwood Trail Apartments II is the second phase of Dogwood Trail Apartments. Site Control for Dogwood Trail II was obtained on 9/30/19 with the purchase of the site before closing the partnership on 12/6/19.  The master plan is included in the application package showing Phase I, Phase II and the area to the north of Phase II which has been reserved for commercial. Dogwood Trail Apartments (Phase I) placed in service on 12/31/2020.</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3.9">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9">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9">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9">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9">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9">
      <c r="A1352" s="2540" t="s">
        <v>1841</v>
      </c>
      <c r="B1352" s="2198" t="s">
        <v>7026</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9">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9">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9">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35">
      <c r="A1356" s="2406" t="str">
        <f>'Part VIII Scoring Criteria'!A205</f>
        <v>Not applicable as Dogwood Trail Apartments II is a Phased Development</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3.9">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9">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9">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9">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9">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9">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9">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9">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9">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9">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9">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7027</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3.9">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9">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9">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9">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3.9">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9">
      <c r="A1375" s="2500"/>
      <c r="B1375" s="2404" t="s">
        <v>6858</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9">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9">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5.5">
      <c r="A1379" s="2406" t="str">
        <f>'Part VIII Scoring Criteria'!A228</f>
        <v>Not Applicable. Dogwood Trail Apartments II is located outside the Atlanta Metro Pool</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3.9">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9">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9">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9">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3.9">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9">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f>'Part VIII Scoring Criteria'!I235</f>
        <v>0</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9">
      <c r="A1388" s="2464"/>
      <c r="B1388" s="2199"/>
      <c r="C1388" s="2199" t="s">
        <v>6693</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9">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9">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9">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9">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9">
      <c r="A1396" s="2500"/>
      <c r="B1396" s="2984"/>
      <c r="C1396" s="2199" t="s">
        <v>6861</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7028</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9">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378">
      <c r="A1399" s="2406" t="str">
        <f>'Part VIII Scoring Criteria'!A248</f>
        <v>Dogwood Trail Apartments II agrees to engage QB's in an amount equal to approximately 5% of total constuction hard costs as certified by Independent Auditor Report in the Final Allocation Application.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3.9">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9">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9">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9">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3.9">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9">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9">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9">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37.5">
      <c r="A1408" s="2406" t="str">
        <f>'Part VIII Scoring Criteria'!A257</f>
        <v>Dogwood Trail Apartments II commits to accept resident services coordination from an entity certified as a "3rd Party Resident Services Coordination Contractor" by CORES or other DCA-approved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3.9">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9">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9">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9">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9">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9">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9">
      <c r="A1415" s="2500"/>
      <c r="B1415" s="2199" t="s">
        <v>6900</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9">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9">
      <c r="A1417" s="2982"/>
      <c r="B1417" s="2199" t="s">
        <v>6900</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3.9">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9">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9">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9">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9">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9">
      <c r="A1423" s="2540"/>
      <c r="B1423" s="2929" t="s">
        <v>3153</v>
      </c>
      <c r="C1423" s="2397"/>
      <c r="D1423" s="2405"/>
      <c r="E1423" s="2405"/>
      <c r="F1423" s="2397"/>
      <c r="G1423" s="2199"/>
      <c r="H1423" s="2397"/>
      <c r="I1423" s="2199" t="str">
        <f>'Part VIII Scoring Criteria'!I272</f>
        <v>City of Albany</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9">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9">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378">
      <c r="A1426" s="2406" t="str">
        <f>'Part VIII Scoring Criteria'!A275</f>
        <v>Dogwood Trail Apartments II was selected by the City of Albany GICH Team as the 2023 GICH Development after a competitive process. The GICH letter and city's letter of acceptance and support are included in the application.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3.9">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9">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9">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9">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9">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9">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3.9">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9">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9">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9">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9">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9">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9">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9">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9">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9">
      <c r="A1443" s="2397"/>
      <c r="B1443" s="2933" t="s">
        <v>3888</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9">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9">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9">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9">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9">
      <c r="A1448" s="2199"/>
      <c r="B1448" s="2931"/>
      <c r="C1448" s="2405" t="s">
        <v>2412</v>
      </c>
      <c r="D1448" s="2438"/>
      <c r="E1448" s="2438"/>
      <c r="F1448" s="2397"/>
      <c r="G1448" s="2397"/>
      <c r="H1448" s="2397"/>
      <c r="I1448" s="2468" t="s">
        <v>6235</v>
      </c>
      <c r="J1448" s="2994">
        <f>'Part V-Revenues &amp; Expenses'!$P$67</f>
        <v>40</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5">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5">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9">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9">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9">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9">
      <c r="A1455" s="2540"/>
      <c r="B1455" s="2967"/>
      <c r="C1455" s="2199" t="s">
        <v>6868</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9">
      <c r="A1456" s="2397"/>
      <c r="B1456" s="2967"/>
      <c r="C1456" s="2397" t="s">
        <v>6869</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9">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5">
      <c r="A1458" s="2406" t="str">
        <f>'Part VIII Scoring Criteria'!A307</f>
        <v>Not Applicable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3.9">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9">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9">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9">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9">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9">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9">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9">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9">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0.5">
      <c r="A1469" s="2406" t="str">
        <f>'Part VIII Scoring Criteria'!A318</f>
        <v>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3.9">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9">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9">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9">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9">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9">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9">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9">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9">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3.9">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9">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9">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9">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9">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9">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9">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9">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9">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9">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9">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9">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48.5">
      <c r="A1491" s="2406" t="str">
        <f>'Part VIII Scoring Criteria'!A340</f>
        <v>Applicant has had no negative prior performanc related to DCA Section 811.</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3.9">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9">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9">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9">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9">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9">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0.5">
      <c r="A1498" s="2406" t="str">
        <f>'Part VIII Scoring Criteria'!A347</f>
        <v>Not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3.9">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9">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9">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9">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9">
      <c r="A1503" s="2982" t="s">
        <v>3380</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9">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3.9">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9">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9">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9">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9">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9">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0.5">
      <c r="A1511" s="2406" t="str">
        <f>'Part VIII Scoring Criteria'!A360</f>
        <v>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3.9">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9">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9">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9">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9">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9">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9">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9">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0.5">
      <c r="A1520" s="2406" t="str">
        <f>'Part VIII Scoring Criteria'!A369</f>
        <v>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3.9">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9">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9">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9">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9">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9">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6930</v>
      </c>
      <c r="E1527" s="2199"/>
      <c r="F1527" s="2199"/>
      <c r="G1527" s="2199" t="s">
        <v>6222</v>
      </c>
      <c r="H1527" s="2199"/>
      <c r="I1527" s="2199"/>
      <c r="J1527" s="2199" t="s">
        <v>575</v>
      </c>
      <c r="L1527" s="2342" t="s">
        <v>6931</v>
      </c>
      <c r="M1527" s="3917" t="s">
        <v>6941</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9">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9">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0.5">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3.9">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9">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9">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9">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9">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9">
      <c r="A1546" s="2921" t="s">
        <v>1841</v>
      </c>
      <c r="B1546" s="2198" t="s">
        <v>7029</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Not Applicable
&lt;&lt;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9">
      <c r="A1548" s="3001" t="s">
        <v>1843</v>
      </c>
      <c r="B1548" s="2953" t="s">
        <v>7030</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Not Applicable
&lt;&lt;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9">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48.5">
      <c r="A1551" s="2406" t="str">
        <f>'Part VIII Scoring Criteria'!A400</f>
        <v>Not Applicable. Dogwood Trail Apartments II is a 9% new supply application.</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3.9">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9">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7031</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9">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70.5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9">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7032</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9">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9">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9">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9">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9">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9">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9">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3.9">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3.9">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7.7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6927</v>
      </c>
      <c r="BC1570" s="3006" t="s">
        <v>6545</v>
      </c>
      <c r="BD1570" s="3006" t="s">
        <v>6546</v>
      </c>
      <c r="BE1570" s="3006" t="s">
        <v>6547</v>
      </c>
      <c r="BF1570" s="3006">
        <v>0.09</v>
      </c>
      <c r="BG1570" s="3006">
        <v>0.04</v>
      </c>
      <c r="BH1570" s="3006">
        <v>0.04</v>
      </c>
      <c r="BI1570" s="3006" t="s">
        <v>6927</v>
      </c>
      <c r="BJ1570" s="3006" t="s">
        <v>6545</v>
      </c>
      <c r="BK1570" s="3006" t="s">
        <v>6546</v>
      </c>
      <c r="BL1570" s="3006" t="s">
        <v>6547</v>
      </c>
    </row>
    <row r="1571" spans="1:64" ht="13.9">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9">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9">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9">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9">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4</v>
      </c>
      <c r="AZ1575" s="3008">
        <f>O1237</f>
        <v>4</v>
      </c>
      <c r="BA1575" s="2959"/>
      <c r="BB1575" s="2959"/>
      <c r="BC1575" s="2959"/>
      <c r="BD1575" s="2959"/>
      <c r="BE1575" s="2959"/>
      <c r="BF1575" s="3008">
        <f>P1237</f>
        <v>0</v>
      </c>
      <c r="BG1575" s="3008">
        <f>P1237</f>
        <v>0</v>
      </c>
      <c r="BH1575" s="2959"/>
      <c r="BI1575" s="2959"/>
      <c r="BJ1575" s="2959"/>
      <c r="BK1575" s="2959"/>
      <c r="BL1575" s="2959"/>
    </row>
    <row r="1576" spans="1:64" ht="13.9">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1.5</v>
      </c>
      <c r="AZ1576" s="2959">
        <f>O1257</f>
        <v>1.5</v>
      </c>
      <c r="BA1576" s="2959"/>
      <c r="BB1576" s="2959"/>
      <c r="BC1576" s="2959"/>
      <c r="BD1576" s="2959"/>
      <c r="BE1576" s="2959"/>
      <c r="BF1576" s="2959">
        <f>P1257</f>
        <v>0</v>
      </c>
      <c r="BG1576" s="2959">
        <f>P1257</f>
        <v>0</v>
      </c>
      <c r="BH1576" s="2959"/>
      <c r="BI1576" s="2959"/>
      <c r="BJ1576" s="2959"/>
      <c r="BK1576" s="2959"/>
      <c r="BL1576" s="2959"/>
    </row>
    <row r="1577" spans="1:64" ht="13.9">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3.9">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9">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9">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9">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6945</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9">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3</v>
      </c>
      <c r="AZ1582" s="2959"/>
      <c r="BA1582" s="2959"/>
      <c r="BB1582" s="2959"/>
      <c r="BC1582" s="2959"/>
      <c r="BD1582" s="2959"/>
      <c r="BE1582" s="2959"/>
      <c r="BF1582" s="3007">
        <f>P1340</f>
        <v>0</v>
      </c>
      <c r="BG1582" s="2959"/>
      <c r="BH1582" s="2959"/>
      <c r="BI1582" s="2959"/>
      <c r="BJ1582" s="2959"/>
      <c r="BK1582" s="2959"/>
      <c r="BL1582" s="2959"/>
    </row>
    <row r="1583" spans="1:64" ht="13.9">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3.9">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9">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9">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9">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9">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9">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3.9">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9">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9">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9">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9">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9">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9">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9">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9">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6925</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6925</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9">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9">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70.5</v>
      </c>
      <c r="AZ1600" s="2542">
        <f>'Part VIII Scoring Criteria'!AZ449</f>
        <v>62.5</v>
      </c>
      <c r="BA1600" s="2542">
        <f>'Part VIII Scoring Criteria'!BA449</f>
        <v>28</v>
      </c>
      <c r="BB1600" s="2542">
        <f>'Part VIII Scoring Criteria'!BB449</f>
        <v>28</v>
      </c>
      <c r="BC1600" s="2542">
        <f>'Part VIII Scoring Criteria'!BC449</f>
        <v>32</v>
      </c>
      <c r="BD1600" s="2542">
        <f>'Part VIII Scoring Criteria'!BD449</f>
        <v>32</v>
      </c>
      <c r="BE1600" s="2542">
        <f>'Part VIII Scoring Criteria'!BE449</f>
        <v>32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9">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9">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9">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9">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9">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9">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9">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9">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9">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9">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9">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9">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9">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9">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9">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9">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9">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9">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9">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9">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9">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9">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9">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9">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9">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9">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9">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9">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9">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9">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9">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9">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9">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9">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9">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9">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9">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9">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9">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9">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9">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9">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9">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9">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9">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9">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9">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9">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9">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9">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9">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9">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9">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9">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9">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9">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9">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9">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9">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9">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9">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9">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9">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9">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9">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9">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9">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9">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9">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9">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9">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9">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9">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9">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9">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9">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9">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9">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9">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9">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9">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9">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9">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9">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9">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9">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9">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9">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9">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9">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9">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9">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9">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9">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9">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9">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9">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9">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9">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9">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2" zoomScaleNormal="100" workbookViewId="0">
      <selection activeCell="M60" sqref="M60"/>
    </sheetView>
  </sheetViews>
  <sheetFormatPr defaultColWidth="9.265625" defaultRowHeight="11.65"/>
  <cols>
    <col min="1" max="1" width="4.265625" style="142" customWidth="1"/>
    <col min="2" max="17" width="8.265625" style="142" customWidth="1"/>
    <col min="18" max="18" width="3.265625" style="142" customWidth="1"/>
    <col min="19" max="19" width="13.59765625" style="142" customWidth="1"/>
    <col min="20" max="20" width="98.73046875" style="142" customWidth="1"/>
    <col min="21" max="24" width="9.265625" style="142"/>
    <col min="25" max="25" width="16.59765625" style="1741" bestFit="1" customWidth="1"/>
    <col min="26" max="26" width="9.265625" style="1741"/>
    <col min="27" max="51" width="9.265625" style="142"/>
    <col min="52" max="52" width="9.265625" style="1675"/>
    <col min="53" max="16384" width="9.26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Dogwood Trail Apartments II, Albany, Dougherty County</v>
      </c>
      <c r="B2" s="3103"/>
      <c r="C2" s="3103"/>
      <c r="D2" s="3103"/>
      <c r="E2" s="3103"/>
      <c r="F2" s="3103"/>
      <c r="G2" s="3103"/>
      <c r="H2" s="3103"/>
      <c r="I2" s="3103"/>
      <c r="J2" s="3103"/>
      <c r="K2" s="3103"/>
      <c r="L2" s="3103"/>
      <c r="M2" s="3103"/>
      <c r="N2" s="3103"/>
      <c r="O2" s="3103"/>
      <c r="P2" s="3103"/>
      <c r="Q2" s="3104"/>
      <c r="S2" s="3195" t="str">
        <f>$A$2</f>
        <v>PART TWO - SOURCES OF FUNDS (Proposed)  -  2023-0 Dogwood Trail Apartments II, Albany, Dougherty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181"/>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7092</v>
      </c>
      <c r="I22" s="3228"/>
      <c r="J22" s="3228"/>
      <c r="K22" s="3229"/>
      <c r="L22" s="3230">
        <v>8796881</v>
      </c>
      <c r="M22" s="3231"/>
      <c r="N22" s="3232">
        <v>7.7499999999999999E-2</v>
      </c>
      <c r="O22" s="3233"/>
      <c r="P22" s="3234">
        <v>18</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7093</v>
      </c>
      <c r="I28" s="3239"/>
      <c r="J28" s="3239"/>
      <c r="K28" s="3240"/>
      <c r="L28" s="3241">
        <v>984969</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7094</v>
      </c>
      <c r="I29" s="3239"/>
      <c r="J29" s="3239"/>
      <c r="K29" s="3240"/>
      <c r="L29" s="3241">
        <v>633335</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10415185</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v>10415185</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7092</v>
      </c>
      <c r="F40" s="3228"/>
      <c r="G40" s="3228"/>
      <c r="H40" s="3229"/>
      <c r="I40" s="3287">
        <v>641200</v>
      </c>
      <c r="J40" s="3288"/>
      <c r="K40" s="654">
        <v>7.0000000000000007E-2</v>
      </c>
      <c r="L40" s="822">
        <v>17</v>
      </c>
      <c r="M40" s="822">
        <v>35</v>
      </c>
      <c r="N40" s="3272" t="s">
        <v>7095</v>
      </c>
      <c r="O40" s="3272"/>
      <c r="P40" s="3286">
        <f>IF(OR(I40&lt;=0,I40=""),"",IF(N40="Cash Flow",0,IF(N40="Amortizing",-PMT(K40/12,M40*12,I40,0,0)*12,"")))</f>
        <v>49156.163650470116</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1.9572727272727272E-3</v>
      </c>
      <c r="E45" s="3186" t="s">
        <v>7096</v>
      </c>
      <c r="F45" s="3187"/>
      <c r="G45" s="3187"/>
      <c r="H45" s="3188"/>
      <c r="I45" s="3273">
        <v>2153</v>
      </c>
      <c r="J45" s="3274"/>
      <c r="K45" s="653">
        <v>0</v>
      </c>
      <c r="L45" s="652">
        <v>1</v>
      </c>
      <c r="M45" s="652">
        <v>1</v>
      </c>
      <c r="N45" s="3043" t="s">
        <v>1096</v>
      </c>
      <c r="O45" s="3044"/>
      <c r="P45" s="3275">
        <v>2153</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20110.548349529883</v>
      </c>
      <c r="G47" s="3285"/>
      <c r="H47" s="485" t="s">
        <v>3404</v>
      </c>
      <c r="I47" s="3284">
        <f>IF(OR($I$45="",$I$45=0,'Part VI-Pro Forma'!$R$35=0,'Part VI-Pro Forma'!$R$35=""),"",VLOOKUP($L$45,'Part VI-Pro Forma'!$Q$21:$S$35,2))</f>
        <v>2153</v>
      </c>
      <c r="J47" s="3285"/>
      <c r="K47" s="485" t="s">
        <v>3406</v>
      </c>
      <c r="L47" s="3282">
        <f>IF(OR($F$47 = 0,$F$47 =""),"",$I$47/$F$47)</f>
        <v>0.10705824438896167</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7093</v>
      </c>
      <c r="F51" s="3239"/>
      <c r="G51" s="3239"/>
      <c r="H51" s="3240"/>
      <c r="I51" s="3269">
        <v>6566461</v>
      </c>
      <c r="J51" s="3269"/>
      <c r="L51" s="3280">
        <f>'Part III-A-Uses of Funds'!$J$191*10*'Part III-A-Uses of Funds'!$N$182</f>
        <v>6633459.5999999996</v>
      </c>
      <c r="M51" s="3280"/>
      <c r="N51" s="3281">
        <f>I51-L51</f>
        <v>-66998.599999999627</v>
      </c>
      <c r="O51" s="3281"/>
      <c r="P51" s="324">
        <f>I51/I61</f>
        <v>0.57439050738931341</v>
      </c>
      <c r="Q51" s="144"/>
      <c r="S51" s="3199"/>
      <c r="T51" s="3200"/>
      <c r="Y51" s="1742" t="s">
        <v>6359</v>
      </c>
      <c r="Z51" s="1706">
        <v>51</v>
      </c>
      <c r="AZ51" s="1676" t="s">
        <v>6360</v>
      </c>
    </row>
    <row r="52" spans="1:52" s="223" customFormat="1" ht="15" customHeight="1">
      <c r="A52" s="144"/>
      <c r="B52" s="3236" t="s">
        <v>747</v>
      </c>
      <c r="C52" s="3237"/>
      <c r="D52" s="3277"/>
      <c r="E52" s="3238" t="s">
        <v>7094</v>
      </c>
      <c r="F52" s="3239"/>
      <c r="G52" s="3239"/>
      <c r="H52" s="3240"/>
      <c r="I52" s="3269">
        <v>4222236</v>
      </c>
      <c r="J52" s="3269"/>
      <c r="L52" s="3280">
        <f>'Part III-A-Uses of Funds'!$J$191*10*'Part III-A-Uses of Funds'!$Q$182</f>
        <v>4155902.4000000004</v>
      </c>
      <c r="M52" s="3280"/>
      <c r="N52" s="3281">
        <f>I52-L52</f>
        <v>66333.599999999627</v>
      </c>
      <c r="O52" s="3281"/>
      <c r="P52" s="324">
        <f>I52/I61</f>
        <v>0.36933323419684133</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0.9437237415861548</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11432050</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11432050</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7099</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3046875" defaultRowHeight="12.75"/>
  <cols>
    <col min="1" max="1" width="17.73046875" customWidth="1"/>
    <col min="2" max="5" width="16.73046875" customWidth="1"/>
    <col min="6" max="6" width="4.73046875" bestFit="1" customWidth="1"/>
    <col min="7" max="7" width="11.265625" customWidth="1"/>
    <col min="8" max="8" width="12.265625" bestFit="1" customWidth="1"/>
    <col min="9" max="9" width="12.3984375" bestFit="1" customWidth="1"/>
    <col min="10" max="10" width="11.73046875" bestFit="1" customWidth="1"/>
    <col min="11" max="11" width="15.26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3.9">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ht="13.15">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3046875" defaultRowHeight="12.75"/>
  <cols>
    <col min="1" max="1" width="7.265625" customWidth="1"/>
    <col min="2" max="6" width="16.73046875" customWidth="1"/>
    <col min="7" max="7" width="11.59765625" customWidth="1"/>
    <col min="8" max="8" width="2.265625" style="60" customWidth="1"/>
    <col min="9" max="9" width="10.3984375" bestFit="1" customWidth="1"/>
    <col min="10" max="10" width="12.265625" customWidth="1"/>
    <col min="11" max="11" width="10.730468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ht="13.15">
      <c r="A2" s="10"/>
    </row>
    <row r="3" spans="1:17" ht="15.6" customHeight="1">
      <c r="A3" s="3316" t="s">
        <v>210</v>
      </c>
      <c r="B3" s="3316"/>
      <c r="C3" s="3316"/>
      <c r="D3" s="3316"/>
      <c r="E3" s="3316"/>
      <c r="F3" s="3316"/>
      <c r="G3" s="189"/>
      <c r="H3" s="189"/>
    </row>
    <row r="4" spans="1:17" ht="13.15">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ht="13.15">
      <c r="A14" t="s">
        <v>2272</v>
      </c>
      <c r="D14" s="181"/>
      <c r="E14" t="s">
        <v>2273</v>
      </c>
      <c r="F14" s="191"/>
    </row>
    <row r="15" spans="1:17" ht="13.15">
      <c r="D15" s="174"/>
      <c r="F15" s="191"/>
    </row>
    <row r="16" spans="1:17" ht="13.15">
      <c r="A16" t="s">
        <v>2274</v>
      </c>
      <c r="D16" s="181"/>
      <c r="E16" t="s">
        <v>2273</v>
      </c>
      <c r="F16" s="191"/>
    </row>
    <row r="17" spans="1:10" ht="13.15">
      <c r="D17" s="161"/>
      <c r="F17" s="191"/>
    </row>
    <row r="18" spans="1:10" ht="13.15">
      <c r="A18" t="s">
        <v>871</v>
      </c>
      <c r="D18" s="161" t="e">
        <f>PMT(D10/12,D16*12,-D5,0,0)*12</f>
        <v>#NUM!</v>
      </c>
      <c r="E18" t="s">
        <v>1405</v>
      </c>
      <c r="F18" s="191"/>
    </row>
    <row r="19" spans="1:10" ht="13.15">
      <c r="D19" s="161"/>
      <c r="F19" s="191"/>
    </row>
    <row r="20" spans="1:10" ht="13.15">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ht="13.15">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3.9">
      <c r="A51" s="3316" t="s">
        <v>2275</v>
      </c>
      <c r="B51" s="3316"/>
      <c r="C51" s="3316"/>
      <c r="D51" s="3316"/>
      <c r="E51" s="3316"/>
      <c r="F51" s="3316"/>
      <c r="G51" s="189"/>
      <c r="H51" s="189"/>
      <c r="I51" s="189"/>
      <c r="J51" s="189"/>
    </row>
    <row r="52" spans="1:10" ht="5.65" customHeight="1">
      <c r="C52" s="161"/>
      <c r="D52" s="161"/>
    </row>
    <row r="53" spans="1:10" ht="13.15">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4" zoomScaleNormal="100" workbookViewId="0">
      <selection activeCell="A195" sqref="A195:M195"/>
    </sheetView>
  </sheetViews>
  <sheetFormatPr defaultColWidth="9.265625" defaultRowHeight="12.75"/>
  <cols>
    <col min="1" max="1" width="2.3984375" style="145" customWidth="1"/>
    <col min="2" max="2" width="5.3984375" style="145" customWidth="1"/>
    <col min="3" max="3" width="18.265625" style="145" customWidth="1"/>
    <col min="4" max="4" width="7.265625" style="145" customWidth="1"/>
    <col min="5" max="5" width="12.59765625" style="145" customWidth="1"/>
    <col min="6" max="6" width="10.3984375" style="145" customWidth="1"/>
    <col min="7" max="8" width="6.3984375" style="145" customWidth="1"/>
    <col min="9" max="9" width="1.73046875" style="145" customWidth="1"/>
    <col min="10" max="11" width="6.3984375" style="145" customWidth="1"/>
    <col min="12" max="12" width="1.73046875" style="145" customWidth="1"/>
    <col min="13" max="14" width="6.3984375" style="145" customWidth="1"/>
    <col min="15" max="15" width="1.73046875" style="145" customWidth="1"/>
    <col min="16" max="17" width="6.3984375" style="145" customWidth="1"/>
    <col min="18" max="18" width="1.73046875" style="145" customWidth="1"/>
    <col min="19" max="20" width="7" style="145" customWidth="1"/>
    <col min="21" max="21" width="5.73046875" style="145" customWidth="1"/>
    <col min="22" max="22" width="13.265625" style="145" customWidth="1"/>
    <col min="23" max="23" width="24.73046875" style="145" customWidth="1"/>
    <col min="24" max="24" width="73.3984375" style="145" customWidth="1"/>
    <col min="25" max="25" width="9.265625" style="145"/>
    <col min="26" max="29" width="8" style="145" customWidth="1"/>
    <col min="30" max="31" width="9.265625" style="145" bestFit="1" customWidth="1"/>
    <col min="32" max="32" width="10.3984375" style="145" customWidth="1"/>
    <col min="33" max="33" width="10.265625" style="145" customWidth="1"/>
    <col min="34" max="51" width="8" style="145" customWidth="1"/>
    <col min="52" max="52" width="9.265625" style="744"/>
    <col min="53" max="53" width="9.265625" style="1739"/>
    <col min="54" max="16384" width="9.26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Dogwood Trail Apartments II, Albany, Dougherty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Dogwood Trail Apartments II, Albany, Dougherty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10000</v>
      </c>
      <c r="H9" s="3231"/>
      <c r="J9" s="3230">
        <v>10000</v>
      </c>
      <c r="K9" s="3231"/>
      <c r="L9" s="828"/>
      <c r="M9" s="3230"/>
      <c r="N9" s="3231"/>
      <c r="P9" s="3230"/>
      <c r="Q9" s="3231"/>
      <c r="S9" s="3230"/>
      <c r="T9" s="3231"/>
      <c r="V9" s="849"/>
      <c r="W9" s="3342"/>
      <c r="X9" s="3343"/>
      <c r="AZ9" s="1968"/>
      <c r="BA9" s="1706">
        <v>9</v>
      </c>
    </row>
    <row r="10" spans="1:53" s="144" customFormat="1" ht="11.25" customHeight="1">
      <c r="B10" s="144" t="s">
        <v>431</v>
      </c>
      <c r="G10" s="3241">
        <v>10000</v>
      </c>
      <c r="H10" s="3242"/>
      <c r="J10" s="3241">
        <v>10000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11900</v>
      </c>
      <c r="H11" s="3242"/>
      <c r="J11" s="3241">
        <v>11900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11000</v>
      </c>
      <c r="H12" s="3242"/>
      <c r="J12" s="3241">
        <v>11000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8000</v>
      </c>
      <c r="H13" s="3242"/>
      <c r="J13" s="3241"/>
      <c r="K13" s="3242"/>
      <c r="L13" s="828"/>
      <c r="M13" s="3241"/>
      <c r="N13" s="3242"/>
      <c r="P13" s="3241"/>
      <c r="Q13" s="3242"/>
      <c r="S13" s="3241">
        <v>8000</v>
      </c>
      <c r="T13" s="3242"/>
      <c r="V13" s="849"/>
      <c r="W13" s="3342"/>
      <c r="X13" s="3343"/>
      <c r="AZ13" s="1968"/>
      <c r="BA13" s="1706">
        <v>13</v>
      </c>
    </row>
    <row r="14" spans="1:53" s="144" customFormat="1" ht="11.25" customHeight="1">
      <c r="B14" s="144" t="s">
        <v>183</v>
      </c>
      <c r="G14" s="3241">
        <v>200</v>
      </c>
      <c r="H14" s="3242"/>
      <c r="J14" s="3241">
        <v>200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6721</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6721</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51100</v>
      </c>
      <c r="H18" s="3339"/>
      <c r="J18" s="3338">
        <f>SUM(J9:J17)</f>
        <v>43100</v>
      </c>
      <c r="K18" s="3339"/>
      <c r="L18" s="828"/>
      <c r="M18" s="3338">
        <f>SUM(M9:M17)</f>
        <v>0</v>
      </c>
      <c r="N18" s="3339"/>
      <c r="P18" s="3338">
        <f>SUM(P9:P17)</f>
        <v>0</v>
      </c>
      <c r="Q18" s="3339"/>
      <c r="S18" s="3338">
        <f>SUM(S9:S17)</f>
        <v>8000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14450.867052023121</v>
      </c>
      <c r="G20" s="3230">
        <v>50000</v>
      </c>
      <c r="H20" s="3231"/>
      <c r="J20" s="283"/>
      <c r="K20" s="280"/>
      <c r="L20" s="283"/>
      <c r="M20" s="283"/>
      <c r="N20" s="280"/>
      <c r="P20" s="283"/>
      <c r="Q20" s="280"/>
      <c r="S20" s="3230">
        <v>50000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50000</v>
      </c>
      <c r="H24" s="3339"/>
      <c r="J24" s="283"/>
      <c r="K24" s="280"/>
      <c r="L24" s="283"/>
      <c r="M24" s="3338">
        <f>SUM(M22:M23)</f>
        <v>0</v>
      </c>
      <c r="N24" s="3339"/>
      <c r="P24" s="283"/>
      <c r="Q24" s="280"/>
      <c r="S24" s="3338">
        <f>SUM(S20:S23)</f>
        <v>50000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289017.34104046243</v>
      </c>
      <c r="G26" s="3230">
        <v>1000000</v>
      </c>
      <c r="H26" s="3231"/>
      <c r="J26" s="3230">
        <v>1000000</v>
      </c>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1000000</v>
      </c>
      <c r="H28" s="3339"/>
      <c r="J28" s="3338">
        <f>SUM(J26:J27)</f>
        <v>1000000</v>
      </c>
      <c r="K28" s="3339"/>
      <c r="L28" s="283"/>
      <c r="M28" s="3338">
        <f>M26</f>
        <v>0</v>
      </c>
      <c r="N28" s="3339"/>
      <c r="P28" s="3338">
        <f>P26</f>
        <v>0</v>
      </c>
      <c r="Q28" s="3339"/>
      <c r="S28" s="3338">
        <f>SUM(S26:S27)</f>
        <v>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5960000</v>
      </c>
      <c r="H30" s="3231"/>
      <c r="J30" s="3230">
        <v>5960000</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6088</v>
      </c>
      <c r="G32" s="3241">
        <v>200000</v>
      </c>
      <c r="H32" s="3242"/>
      <c r="J32" s="3241">
        <v>200000</v>
      </c>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6160000</v>
      </c>
      <c r="H36" s="3339"/>
      <c r="J36" s="3338">
        <f>SUM(J30:J35)</f>
        <v>6160000</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429600</v>
      </c>
      <c r="F38" s="1949">
        <f>IF(($G$28+$G$36)=0,0,G38/($G$28+$G$36))</f>
        <v>0.06</v>
      </c>
      <c r="G38" s="3230">
        <v>429600</v>
      </c>
      <c r="H38" s="3231"/>
      <c r="I38" s="145"/>
      <c r="J38" s="3230">
        <v>429600</v>
      </c>
      <c r="K38" s="3231"/>
      <c r="L38" s="828"/>
      <c r="M38" s="3230"/>
      <c r="N38" s="3231"/>
      <c r="P38" s="3230"/>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143200</v>
      </c>
      <c r="F39" s="1949">
        <f>IF(($G$28+$G$36)=0,0,G39/($G$28+$G$36))</f>
        <v>0.02</v>
      </c>
      <c r="G39" s="3241">
        <v>143200</v>
      </c>
      <c r="H39" s="3242"/>
      <c r="I39" s="145"/>
      <c r="J39" s="3241">
        <v>143200</v>
      </c>
      <c r="K39" s="3242"/>
      <c r="L39" s="828"/>
      <c r="M39" s="3241"/>
      <c r="N39" s="3242"/>
      <c r="P39" s="3241"/>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429600</v>
      </c>
      <c r="F40" s="1952">
        <f>IF(($G$28+$G$36)=0,0,G40/($G$28+$G$36))</f>
        <v>0.06</v>
      </c>
      <c r="G40" s="3340">
        <v>429600</v>
      </c>
      <c r="H40" s="3341"/>
      <c r="I40" s="145"/>
      <c r="J40" s="3340">
        <v>429600</v>
      </c>
      <c r="K40" s="3341"/>
      <c r="L40" s="828"/>
      <c r="M40" s="3340"/>
      <c r="N40" s="3341"/>
      <c r="P40" s="3340"/>
      <c r="Q40" s="3341"/>
      <c r="S40" s="3340"/>
      <c r="T40" s="3341"/>
      <c r="V40" s="849"/>
      <c r="W40" s="3349"/>
      <c r="X40" s="3350"/>
      <c r="AZ40" s="1968"/>
      <c r="BA40" s="1706">
        <v>40</v>
      </c>
    </row>
    <row r="41" spans="1:53" s="144" customFormat="1" ht="12.6" customHeight="1" thickTop="1">
      <c r="B41" s="147" t="s">
        <v>3225</v>
      </c>
      <c r="D41" s="761">
        <f>SUM(D38:D40)</f>
        <v>0.14000000000000001</v>
      </c>
      <c r="E41" s="762">
        <f>SUM(E38:E40)</f>
        <v>1002400</v>
      </c>
      <c r="F41" s="1946" t="s">
        <v>184</v>
      </c>
      <c r="G41" s="3338">
        <f>SUM(G38:G40)</f>
        <v>1002400</v>
      </c>
      <c r="H41" s="3339"/>
      <c r="J41" s="3338">
        <f>SUM(J38:J40)</f>
        <v>1002400</v>
      </c>
      <c r="K41" s="3339"/>
      <c r="L41" s="283"/>
      <c r="M41" s="3338">
        <f>SUM(M38:M40)</f>
        <v>0</v>
      </c>
      <c r="N41" s="3339"/>
      <c r="P41" s="3338">
        <f>SUM(P38:P40)</f>
        <v>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8162400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204060</v>
      </c>
      <c r="G48" s="1668" t="s">
        <v>2492</v>
      </c>
      <c r="H48" s="1669"/>
      <c r="I48" s="1669"/>
      <c r="J48" s="3398">
        <f>C49/'Part V-Revenues &amp; Expenses'!$P$67</f>
        <v>204060</v>
      </c>
      <c r="K48" s="3398"/>
      <c r="L48" s="1669"/>
      <c r="M48" s="3399" t="s">
        <v>6475</v>
      </c>
      <c r="N48" s="3399"/>
      <c r="O48" s="1669"/>
      <c r="P48" s="3398">
        <f>C49/'Part V-Revenues &amp; Expenses'!$K$175</f>
        <v>145.53364475983312</v>
      </c>
      <c r="Q48" s="3398"/>
      <c r="R48" s="1669"/>
      <c r="S48" s="3400" t="s">
        <v>6477</v>
      </c>
      <c r="T48" s="3401"/>
      <c r="V48" s="852"/>
      <c r="W48" s="3392"/>
      <c r="X48" s="3393"/>
      <c r="AZ48" s="1968"/>
      <c r="BA48" s="1706">
        <v>48</v>
      </c>
    </row>
    <row r="49" spans="1:53" s="144" customFormat="1" ht="12.6" customHeight="1">
      <c r="B49" s="1714" t="s">
        <v>6488</v>
      </c>
      <c r="C49" s="1713">
        <f>G28+G36+G41+G46</f>
        <v>8162400</v>
      </c>
      <c r="E49" s="3397"/>
      <c r="F49" s="1670">
        <f>C49/'Part V-Revenues &amp; Expenses'!$P$166</f>
        <v>216.39448568398728</v>
      </c>
      <c r="G49" s="1671" t="s">
        <v>2493</v>
      </c>
      <c r="H49" s="1672"/>
      <c r="I49" s="1672"/>
      <c r="J49" s="3386">
        <f>C49/'Part V-Revenues &amp; Expenses'!$P$168</f>
        <v>216.39448568398728</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408120</v>
      </c>
      <c r="F55" s="1756">
        <f>G55/C49</f>
        <v>0.05</v>
      </c>
      <c r="G55" s="3388">
        <v>408120</v>
      </c>
      <c r="H55" s="3389"/>
      <c r="I55" s="144"/>
      <c r="J55" s="3388"/>
      <c r="K55" s="3389"/>
      <c r="L55" s="828"/>
      <c r="M55" s="3388"/>
      <c r="N55" s="3389"/>
      <c r="O55" s="144"/>
      <c r="P55" s="3388"/>
      <c r="Q55" s="3389"/>
      <c r="R55" s="144"/>
      <c r="S55" s="3388">
        <v>408120</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214263</v>
      </c>
      <c r="G57" s="1668" t="s">
        <v>2492</v>
      </c>
      <c r="H57" s="1669"/>
      <c r="I57" s="1669"/>
      <c r="J57" s="3398">
        <f>B58/'Part V-Revenues &amp; Expenses'!$P$67</f>
        <v>214263</v>
      </c>
      <c r="K57" s="3398"/>
      <c r="L57" s="1669"/>
      <c r="M57" s="3399" t="s">
        <v>6475</v>
      </c>
      <c r="N57" s="3399"/>
      <c r="O57" s="1669"/>
      <c r="P57" s="3398">
        <f>B58/'Part V-Revenues &amp; Expenses'!$K$175</f>
        <v>152.81032699782477</v>
      </c>
      <c r="Q57" s="3398"/>
      <c r="R57" s="1669"/>
      <c r="S57" s="3400" t="s">
        <v>6477</v>
      </c>
      <c r="T57" s="3401"/>
      <c r="V57" s="852"/>
      <c r="W57" s="3392"/>
      <c r="X57" s="3393"/>
      <c r="AZ57" s="1968"/>
      <c r="BA57" s="1706">
        <v>54</v>
      </c>
    </row>
    <row r="58" spans="1:53" s="144" customFormat="1" ht="12.6" customHeight="1">
      <c r="B58" s="3479">
        <f>C49+G55</f>
        <v>8570520</v>
      </c>
      <c r="C58" s="3480"/>
      <c r="E58" s="3482"/>
      <c r="F58" s="1670">
        <f>B58/'Part V-Revenues &amp; Expenses'!$P$166</f>
        <v>227.21420996818665</v>
      </c>
      <c r="G58" s="1671" t="s">
        <v>2493</v>
      </c>
      <c r="H58" s="1672"/>
      <c r="I58" s="1672"/>
      <c r="J58" s="3386">
        <f>B58/'Part V-Revenues &amp; Expenses'!$P$168</f>
        <v>227.21420996818665</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92969</v>
      </c>
      <c r="H63" s="3242"/>
      <c r="J63" s="3241">
        <v>92969</v>
      </c>
      <c r="K63" s="3242"/>
      <c r="L63" s="828"/>
      <c r="M63" s="3241"/>
      <c r="N63" s="3242"/>
      <c r="P63" s="3241"/>
      <c r="Q63" s="3242"/>
      <c r="S63" s="3241"/>
      <c r="T63" s="3242"/>
      <c r="V63" s="853"/>
      <c r="W63" s="3342"/>
      <c r="X63" s="3343"/>
      <c r="AZ63" s="1968"/>
      <c r="BA63" s="1706">
        <v>63</v>
      </c>
    </row>
    <row r="64" spans="1:53" s="144" customFormat="1" ht="12" customHeight="1">
      <c r="B64" s="144" t="s">
        <v>2167</v>
      </c>
      <c r="G64" s="3241">
        <v>450673</v>
      </c>
      <c r="H64" s="3242"/>
      <c r="J64" s="3241">
        <v>405606</v>
      </c>
      <c r="K64" s="3242"/>
      <c r="L64" s="828"/>
      <c r="M64" s="3241"/>
      <c r="N64" s="3242"/>
      <c r="P64" s="3241"/>
      <c r="Q64" s="3242"/>
      <c r="S64" s="3241">
        <v>45067</v>
      </c>
      <c r="T64" s="3242"/>
      <c r="V64" s="853"/>
      <c r="W64" s="3342"/>
      <c r="X64" s="3343"/>
      <c r="AZ64" s="1968"/>
      <c r="BA64" s="1706">
        <v>64</v>
      </c>
    </row>
    <row r="65" spans="1:53" s="144" customFormat="1" ht="12" customHeight="1">
      <c r="B65" s="144" t="s">
        <v>2168</v>
      </c>
      <c r="G65" s="3241">
        <v>55000</v>
      </c>
      <c r="H65" s="3242"/>
      <c r="J65" s="3241">
        <v>55000</v>
      </c>
      <c r="K65" s="3242"/>
      <c r="L65" s="828"/>
      <c r="M65" s="3241"/>
      <c r="N65" s="3242"/>
      <c r="P65" s="3241"/>
      <c r="Q65" s="3242"/>
      <c r="S65" s="3241"/>
      <c r="T65" s="3242"/>
      <c r="V65" s="853"/>
      <c r="W65" s="3342"/>
      <c r="X65" s="3343"/>
      <c r="AZ65" s="1968" t="s">
        <v>6375</v>
      </c>
      <c r="BA65" s="1706">
        <v>65</v>
      </c>
    </row>
    <row r="66" spans="1:53" s="144" customFormat="1" ht="12" customHeight="1">
      <c r="B66" s="144" t="s">
        <v>2450</v>
      </c>
      <c r="G66" s="3241">
        <v>16000</v>
      </c>
      <c r="H66" s="3242"/>
      <c r="J66" s="3241">
        <v>16000</v>
      </c>
      <c r="K66" s="3242"/>
      <c r="L66" s="828"/>
      <c r="M66" s="3241"/>
      <c r="N66" s="3242"/>
      <c r="P66" s="3241"/>
      <c r="Q66" s="3242"/>
      <c r="S66" s="3241"/>
      <c r="T66" s="3242"/>
      <c r="V66" s="853"/>
      <c r="W66" s="3342"/>
      <c r="X66" s="3343"/>
      <c r="AZ66" s="1968" t="s">
        <v>6376</v>
      </c>
      <c r="BA66" s="1706">
        <v>66</v>
      </c>
    </row>
    <row r="67" spans="1:53" s="144" customFormat="1" ht="12" customHeight="1">
      <c r="B67" s="144" t="s">
        <v>676</v>
      </c>
      <c r="G67" s="3241">
        <v>15000</v>
      </c>
      <c r="H67" s="3242"/>
      <c r="J67" s="3241">
        <v>15000</v>
      </c>
      <c r="K67" s="3242"/>
      <c r="L67" s="828"/>
      <c r="M67" s="3241"/>
      <c r="N67" s="3242"/>
      <c r="P67" s="3241"/>
      <c r="Q67" s="3242"/>
      <c r="S67" s="3241"/>
      <c r="T67" s="3242"/>
      <c r="V67" s="853"/>
      <c r="W67" s="3342"/>
      <c r="X67" s="3343"/>
      <c r="AZ67" s="1968" t="s">
        <v>6377</v>
      </c>
      <c r="BA67" s="1706">
        <v>67</v>
      </c>
    </row>
    <row r="68" spans="1:53" s="144" customFormat="1" ht="12" customHeight="1">
      <c r="B68" s="144" t="s">
        <v>2169</v>
      </c>
      <c r="G68" s="3241">
        <v>48000</v>
      </c>
      <c r="H68" s="3242"/>
      <c r="J68" s="3241">
        <v>48000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45722</v>
      </c>
      <c r="H69" s="3242"/>
      <c r="J69" s="3241">
        <v>36578</v>
      </c>
      <c r="K69" s="3242"/>
      <c r="L69" s="828"/>
      <c r="M69" s="3241"/>
      <c r="N69" s="3242"/>
      <c r="P69" s="3241"/>
      <c r="Q69" s="3242"/>
      <c r="S69" s="3241">
        <v>9144</v>
      </c>
      <c r="T69" s="3242"/>
      <c r="V69" s="853"/>
      <c r="W69" s="3342"/>
      <c r="X69" s="3343"/>
      <c r="AZ69" s="1968"/>
      <c r="BA69" s="1706">
        <v>69</v>
      </c>
    </row>
    <row r="70" spans="1:53" s="144" customFormat="1" ht="12" customHeight="1">
      <c r="B70" s="287" t="s">
        <v>1085</v>
      </c>
      <c r="D70" s="285"/>
      <c r="E70" s="285"/>
      <c r="F70" s="286"/>
      <c r="G70" s="3241">
        <v>49000</v>
      </c>
      <c r="H70" s="3242"/>
      <c r="I70" s="145"/>
      <c r="J70" s="3241">
        <v>49000</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6721</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772364</v>
      </c>
      <c r="H73" s="3339"/>
      <c r="J73" s="3338">
        <f>SUM(J61:J72)</f>
        <v>718153</v>
      </c>
      <c r="K73" s="3339"/>
      <c r="L73" s="283"/>
      <c r="M73" s="3338">
        <f>SUM(M61:M72)</f>
        <v>0</v>
      </c>
      <c r="N73" s="3339"/>
      <c r="P73" s="3338">
        <f>SUM(P61:P72)</f>
        <v>0</v>
      </c>
      <c r="Q73" s="3339"/>
      <c r="S73" s="3338">
        <f>SUM(S61:S72)</f>
        <v>54211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96000</v>
      </c>
      <c r="H75" s="3231"/>
      <c r="J75" s="3230">
        <v>96000</v>
      </c>
      <c r="K75" s="3231"/>
      <c r="L75" s="828"/>
      <c r="M75" s="3230"/>
      <c r="N75" s="3231"/>
      <c r="P75" s="3230"/>
      <c r="Q75" s="3231"/>
      <c r="S75" s="3230"/>
      <c r="T75" s="3231"/>
      <c r="V75" s="849"/>
      <c r="W75" s="3342"/>
      <c r="X75" s="3343"/>
      <c r="AZ75" s="1968"/>
      <c r="BA75" s="1706">
        <v>75</v>
      </c>
    </row>
    <row r="76" spans="1:53" s="144" customFormat="1" ht="12" customHeight="1">
      <c r="B76" s="144" t="s">
        <v>451</v>
      </c>
      <c r="G76" s="3241">
        <v>24000</v>
      </c>
      <c r="H76" s="3242"/>
      <c r="J76" s="3241">
        <v>24000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3000</v>
      </c>
      <c r="H78" s="3242"/>
      <c r="J78" s="3241">
        <v>3000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8100</v>
      </c>
      <c r="H79" s="3242"/>
      <c r="J79" s="3241">
        <v>8100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v>35000</v>
      </c>
      <c r="H80" s="3242"/>
      <c r="J80" s="3241">
        <v>35000</v>
      </c>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60000</v>
      </c>
      <c r="H81" s="3242"/>
      <c r="J81" s="3241">
        <v>60000</v>
      </c>
      <c r="K81" s="3242"/>
      <c r="L81" s="828"/>
      <c r="M81" s="3241"/>
      <c r="N81" s="3242"/>
      <c r="P81" s="3241"/>
      <c r="Q81" s="3242"/>
      <c r="S81" s="3241"/>
      <c r="T81" s="3242"/>
      <c r="V81" s="849"/>
      <c r="W81" s="3342"/>
      <c r="X81" s="3343"/>
      <c r="AZ81" s="744"/>
      <c r="BA81" s="1706">
        <v>81</v>
      </c>
    </row>
    <row r="82" spans="1:53" s="144" customFormat="1" ht="12" customHeight="1">
      <c r="B82" s="144" t="s">
        <v>453</v>
      </c>
      <c r="G82" s="3241">
        <v>40000</v>
      </c>
      <c r="H82" s="3242"/>
      <c r="J82" s="3241">
        <v>40000</v>
      </c>
      <c r="K82" s="3242"/>
      <c r="L82" s="828"/>
      <c r="M82" s="3241"/>
      <c r="N82" s="3242"/>
      <c r="P82" s="3241"/>
      <c r="Q82" s="3242"/>
      <c r="S82" s="3241"/>
      <c r="T82" s="3242"/>
      <c r="V82" s="849"/>
      <c r="W82" s="3342"/>
      <c r="X82" s="3343"/>
      <c r="AZ82" s="1968"/>
      <c r="BA82" s="1706">
        <v>82</v>
      </c>
    </row>
    <row r="83" spans="1:53" s="144" customFormat="1" ht="12" customHeight="1">
      <c r="B83" s="144" t="s">
        <v>1899</v>
      </c>
      <c r="G83" s="3241">
        <v>18000</v>
      </c>
      <c r="H83" s="3242"/>
      <c r="J83" s="3241">
        <v>18000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15000</v>
      </c>
      <c r="H84" s="3242"/>
      <c r="J84" s="3241">
        <v>15000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6721</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319100</v>
      </c>
      <c r="H86" s="3339"/>
      <c r="J86" s="3338">
        <f>SUM(J75:J85)</f>
        <v>319100</v>
      </c>
      <c r="K86" s="3339"/>
      <c r="L86" s="283"/>
      <c r="M86" s="3338">
        <f>SUM(M75:M85)</f>
        <v>0</v>
      </c>
      <c r="N86" s="3339"/>
      <c r="P86" s="3338">
        <f>SUM(P75:P85)</f>
        <v>0</v>
      </c>
      <c r="Q86" s="3339"/>
      <c r="S86" s="3338">
        <f>SUM(S75:S85)</f>
        <v>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1788.5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27700</v>
      </c>
      <c r="H88" s="3231"/>
      <c r="J88" s="3230">
        <v>27700</v>
      </c>
      <c r="K88" s="3231"/>
      <c r="L88" s="828"/>
      <c r="M88" s="3230"/>
      <c r="N88" s="3231"/>
      <c r="P88" s="3230"/>
      <c r="Q88" s="3231"/>
      <c r="S88" s="3230"/>
      <c r="T88" s="3231"/>
      <c r="V88" s="849"/>
      <c r="W88" s="3342"/>
      <c r="X88" s="3343"/>
      <c r="AZ88" s="1968"/>
      <c r="BA88" s="1706">
        <v>88</v>
      </c>
    </row>
    <row r="89" spans="1:53" s="144" customFormat="1" ht="12" customHeight="1">
      <c r="B89" s="144" t="s">
        <v>1195</v>
      </c>
      <c r="G89" s="3241">
        <v>0</v>
      </c>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v>33590</v>
      </c>
      <c r="H90" s="3242"/>
      <c r="I90" s="145"/>
      <c r="J90" s="3241">
        <v>33590</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v>10250</v>
      </c>
      <c r="H91" s="3190"/>
      <c r="I91" s="145"/>
      <c r="J91" s="3189">
        <v>10250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71540</v>
      </c>
      <c r="H92" s="3339"/>
      <c r="J92" s="3338">
        <f>SUM(J88:J91)</f>
        <v>71540</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20000</v>
      </c>
      <c r="H97" s="3231"/>
      <c r="J97" s="3410"/>
      <c r="K97" s="3410"/>
      <c r="L97" s="828"/>
      <c r="M97" s="3410"/>
      <c r="N97" s="3410"/>
      <c r="P97" s="3410"/>
      <c r="Q97" s="3410"/>
      <c r="S97" s="3230">
        <v>20000</v>
      </c>
      <c r="T97" s="3231"/>
      <c r="V97" s="849"/>
      <c r="W97" s="3342"/>
      <c r="X97" s="3343"/>
      <c r="AZ97" s="1968" t="s">
        <v>6382</v>
      </c>
      <c r="BA97" s="1706">
        <v>97</v>
      </c>
    </row>
    <row r="98" spans="1:53" s="144" customFormat="1" ht="12" customHeight="1">
      <c r="B98" s="144" t="s">
        <v>1199</v>
      </c>
      <c r="G98" s="3241">
        <v>17000</v>
      </c>
      <c r="H98" s="3242"/>
      <c r="J98" s="3410"/>
      <c r="K98" s="3410"/>
      <c r="L98" s="828"/>
      <c r="M98" s="3410"/>
      <c r="N98" s="3410"/>
      <c r="P98" s="3410"/>
      <c r="Q98" s="3410"/>
      <c r="S98" s="3241">
        <v>17000</v>
      </c>
      <c r="T98" s="3242"/>
      <c r="V98" s="849"/>
      <c r="W98" s="3342"/>
      <c r="X98" s="3343"/>
      <c r="AZ98" s="1968"/>
      <c r="BA98" s="1706">
        <v>98</v>
      </c>
    </row>
    <row r="99" spans="1:53" s="144" customFormat="1" ht="12" customHeight="1">
      <c r="B99" s="144" t="s">
        <v>1200</v>
      </c>
      <c r="G99" s="3241">
        <v>2500</v>
      </c>
      <c r="H99" s="3242"/>
      <c r="J99" s="3410"/>
      <c r="K99" s="3410"/>
      <c r="L99" s="828"/>
      <c r="M99" s="3410"/>
      <c r="N99" s="3410"/>
      <c r="P99" s="3410"/>
      <c r="Q99" s="3410"/>
      <c r="S99" s="3241">
        <v>2500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6721</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39500</v>
      </c>
      <c r="H103" s="3339"/>
      <c r="J103" s="3410"/>
      <c r="K103" s="3410"/>
      <c r="L103" s="283"/>
      <c r="M103" s="3410"/>
      <c r="N103" s="3410"/>
      <c r="P103" s="3410"/>
      <c r="Q103" s="3410"/>
      <c r="S103" s="3338">
        <f>SUM(S97:S102)</f>
        <v>39500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40</v>
      </c>
      <c r="AZ106" s="1968" t="s">
        <v>6383</v>
      </c>
      <c r="BA106" s="1706">
        <v>106</v>
      </c>
    </row>
    <row r="107" spans="1:53" s="144" customFormat="1" ht="12.6" customHeight="1">
      <c r="B107" s="144" t="s">
        <v>3318</v>
      </c>
      <c r="G107" s="3241">
        <v>1000</v>
      </c>
      <c r="H107" s="3242"/>
      <c r="J107" s="283"/>
      <c r="K107" s="283"/>
      <c r="L107" s="290"/>
      <c r="M107" s="283"/>
      <c r="N107" s="283"/>
      <c r="P107" s="283"/>
      <c r="Q107" s="283"/>
      <c r="S107" s="3241">
        <v>1000</v>
      </c>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63937</v>
      </c>
      <c r="F108" s="3412"/>
      <c r="G108" s="3241">
        <v>63937</v>
      </c>
      <c r="H108" s="3242"/>
      <c r="J108" s="764" t="str">
        <f>IF(E108&gt;G108,"WARNING!  LIHTC Allocation Fee proposed is below minimum required.","")</f>
        <v/>
      </c>
      <c r="K108" s="283"/>
      <c r="L108" s="828"/>
      <c r="M108" s="283"/>
      <c r="N108" s="283"/>
      <c r="P108" s="283"/>
      <c r="Q108" s="283"/>
      <c r="S108" s="3241">
        <v>63937</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40000</v>
      </c>
      <c r="F109" s="3412"/>
      <c r="G109" s="3241">
        <v>40000</v>
      </c>
      <c r="H109" s="3242"/>
      <c r="I109" s="3346" t="str">
        <f>IF(E109&gt;G109,"WARNING!  LIHTC Compliance Fee proposed is below minimum required.","")</f>
        <v/>
      </c>
      <c r="J109" s="3347"/>
      <c r="K109" s="3347"/>
      <c r="L109" s="3347"/>
      <c r="M109" s="3347"/>
      <c r="N109" s="3347"/>
      <c r="O109" s="3347"/>
      <c r="P109" s="3347"/>
      <c r="Q109" s="3347"/>
      <c r="R109" s="3348"/>
      <c r="S109" s="3241">
        <v>40000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40</v>
      </c>
      <c r="AF113" s="1934">
        <f>IF($AD$105="Income Averaging",AD113*'DCA Underwriting Assumptions'!$Q$61,AD113*'DCA Underwriting Assumptions'!$Q$60)</f>
        <v>40000</v>
      </c>
      <c r="AZ113" s="1968" t="s">
        <v>6386</v>
      </c>
      <c r="BA113" s="1706">
        <v>113</v>
      </c>
    </row>
    <row r="114" spans="1:53" s="144" customFormat="1" ht="12.6" customHeight="1" thickTop="1">
      <c r="F114" s="281" t="s">
        <v>184</v>
      </c>
      <c r="G114" s="3338">
        <f>SUM(G105:G113)</f>
        <v>122937</v>
      </c>
      <c r="H114" s="3339"/>
      <c r="J114" s="283"/>
      <c r="K114" s="283"/>
      <c r="L114" s="828"/>
      <c r="M114" s="283"/>
      <c r="N114" s="283"/>
      <c r="P114" s="283"/>
      <c r="Q114" s="283"/>
      <c r="S114" s="3338">
        <f>SUM(S105:S113)</f>
        <v>122937</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40</v>
      </c>
      <c r="AF115" s="1935">
        <f>SUM(AF113:AF114)</f>
        <v>40000</v>
      </c>
      <c r="AZ115" s="1959"/>
      <c r="BA115" s="1706">
        <v>115</v>
      </c>
    </row>
    <row r="116" spans="1:53" s="144" customFormat="1" ht="12.6" customHeight="1">
      <c r="B116" s="144" t="s">
        <v>267</v>
      </c>
      <c r="G116" s="3230">
        <v>2000</v>
      </c>
      <c r="H116" s="3231"/>
      <c r="J116" s="3410"/>
      <c r="K116" s="3410"/>
      <c r="L116" s="828"/>
      <c r="M116" s="3410"/>
      <c r="N116" s="3410"/>
      <c r="P116" s="3410"/>
      <c r="Q116" s="3410"/>
      <c r="S116" s="3230">
        <v>2000</v>
      </c>
      <c r="T116" s="3231"/>
      <c r="V116" s="849"/>
      <c r="W116" s="3342"/>
      <c r="X116" s="3343"/>
      <c r="AZ116" s="1959"/>
      <c r="BA116" s="1706">
        <v>116</v>
      </c>
    </row>
    <row r="117" spans="1:53" s="144" customFormat="1" ht="12.6" customHeight="1">
      <c r="B117" s="144" t="s">
        <v>268</v>
      </c>
      <c r="G117" s="3241">
        <v>2500</v>
      </c>
      <c r="H117" s="3242"/>
      <c r="J117" s="3410"/>
      <c r="K117" s="3410"/>
      <c r="L117" s="828"/>
      <c r="M117" s="3410"/>
      <c r="N117" s="3410"/>
      <c r="P117" s="3410"/>
      <c r="Q117" s="3410"/>
      <c r="S117" s="3241">
        <v>2500</v>
      </c>
      <c r="T117" s="3242"/>
      <c r="V117" s="849"/>
      <c r="W117" s="3342"/>
      <c r="X117" s="3343"/>
      <c r="AZ117" s="1959"/>
      <c r="BA117" s="1706">
        <v>117</v>
      </c>
    </row>
    <row r="118" spans="1:53" s="144" customFormat="1" ht="12.6" customHeight="1">
      <c r="B118" s="144" t="s">
        <v>2200</v>
      </c>
      <c r="G118" s="3241">
        <v>55000</v>
      </c>
      <c r="H118" s="3242"/>
      <c r="J118" s="3410"/>
      <c r="K118" s="3410"/>
      <c r="L118" s="828"/>
      <c r="M118" s="3410"/>
      <c r="N118" s="3410"/>
      <c r="P118" s="3410"/>
      <c r="Q118" s="3410"/>
      <c r="S118" s="3241">
        <v>55000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59500</v>
      </c>
      <c r="H120" s="3339"/>
      <c r="J120" s="3410"/>
      <c r="K120" s="3410"/>
      <c r="L120" s="828"/>
      <c r="M120" s="3410"/>
      <c r="N120" s="3410"/>
      <c r="P120" s="3410"/>
      <c r="Q120" s="3410"/>
      <c r="S120" s="3338">
        <f>SUM(S116:S119)</f>
        <v>59500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0.29963636363636365</v>
      </c>
      <c r="G122" s="3413">
        <v>329600</v>
      </c>
      <c r="H122" s="3413"/>
      <c r="J122" s="3414">
        <v>329600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1100000</v>
      </c>
      <c r="AF122" s="3370">
        <f>SUM(AE122:AE124)</f>
        <v>1100000</v>
      </c>
      <c r="AG122" s="3497">
        <f>'DCA Underwriting Assumptions'!$Q$74</f>
        <v>2000000</v>
      </c>
      <c r="AH122" s="3489">
        <f>MIN(AF122,AG122)</f>
        <v>1100000</v>
      </c>
      <c r="AI122" s="3490"/>
      <c r="AZ122" s="1959"/>
      <c r="BA122" s="1706">
        <v>122</v>
      </c>
    </row>
    <row r="123" spans="1:53" s="144" customFormat="1" ht="12.6" customHeight="1">
      <c r="B123" s="144" t="s">
        <v>3411</v>
      </c>
      <c r="F123" s="949">
        <v>329600</v>
      </c>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1100000</v>
      </c>
      <c r="AF125" s="3370">
        <f>SUM(AE125:AE127)</f>
        <v>1100000</v>
      </c>
      <c r="AG125" s="3370">
        <f>'DCA Underwriting Assumptions'!$Q$75</f>
        <v>3500000</v>
      </c>
      <c r="AH125" s="3489">
        <f>MIN(AF125,AG125)</f>
        <v>1100000</v>
      </c>
      <c r="AI125" s="3490"/>
      <c r="AZ125" s="1959"/>
      <c r="BA125" s="1706">
        <v>125</v>
      </c>
    </row>
    <row r="126" spans="1:53" s="144" customFormat="1" ht="12.6" customHeight="1" thickBot="1">
      <c r="B126" s="144" t="s">
        <v>1717</v>
      </c>
      <c r="F126" s="323">
        <f>IF($G$127=0,0,G126/$G$127)</f>
        <v>0.70036363636363641</v>
      </c>
      <c r="G126" s="3189">
        <v>770400</v>
      </c>
      <c r="H126" s="3190"/>
      <c r="J126" s="3189">
        <v>770400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1100000</v>
      </c>
      <c r="F127" s="281" t="s">
        <v>184</v>
      </c>
      <c r="G127" s="3338">
        <f>SUM(G122:G126)</f>
        <v>1100000</v>
      </c>
      <c r="H127" s="3416"/>
      <c r="J127" s="3338">
        <f>SUM(J122:J126)</f>
        <v>1100000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30000</v>
      </c>
      <c r="H129" s="3231"/>
      <c r="J129" s="291"/>
      <c r="K129" s="291"/>
      <c r="L129" s="291"/>
      <c r="M129" s="291"/>
      <c r="N129" s="291"/>
      <c r="P129" s="291"/>
      <c r="Q129" s="291"/>
      <c r="S129" s="3230">
        <v>30000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45303.5</v>
      </c>
      <c r="G130" s="3241">
        <v>45304</v>
      </c>
      <c r="H130" s="3242"/>
      <c r="J130" s="765" t="str">
        <f>IF(E130&gt;G130,"WARNING! Rent-Up Reserves proposed is below minimum - add comment.","")</f>
        <v/>
      </c>
      <c r="K130" s="765"/>
      <c r="L130" s="828"/>
      <c r="M130" s="750"/>
      <c r="N130" s="750"/>
      <c r="P130" s="750"/>
      <c r="Q130" s="750"/>
      <c r="S130" s="3241">
        <v>45304</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115185.08182523506</v>
      </c>
      <c r="G131" s="3241">
        <v>120185</v>
      </c>
      <c r="H131" s="3242"/>
      <c r="J131" s="765" t="str">
        <f>IF(E131&gt;G131,"WARNING! ODR proposed is below minimum - add comment.","")</f>
        <v/>
      </c>
      <c r="K131" s="290"/>
      <c r="L131" s="290"/>
      <c r="M131" s="290"/>
      <c r="N131" s="290"/>
      <c r="P131" s="290"/>
      <c r="Q131" s="290"/>
      <c r="S131" s="3241">
        <v>120185</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2000</v>
      </c>
      <c r="G133" s="3241">
        <v>80000</v>
      </c>
      <c r="H133" s="3242"/>
      <c r="J133" s="3230"/>
      <c r="K133" s="3231"/>
      <c r="L133" s="828"/>
      <c r="M133" s="3230"/>
      <c r="N133" s="3231"/>
      <c r="P133" s="3230"/>
      <c r="Q133" s="3231"/>
      <c r="S133" s="3241">
        <v>80000</v>
      </c>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6721</v>
      </c>
      <c r="D134" s="3377"/>
      <c r="E134" s="3377"/>
      <c r="F134" s="3378"/>
      <c r="G134" s="3189"/>
      <c r="H134" s="3190"/>
      <c r="J134" s="3340"/>
      <c r="K134" s="3341"/>
      <c r="L134" s="828"/>
      <c r="M134" s="3189"/>
      <c r="N134" s="3190"/>
      <c r="P134" s="3189"/>
      <c r="Q134" s="3190"/>
      <c r="S134" s="3189" t="s">
        <v>3817</v>
      </c>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275489</v>
      </c>
      <c r="H135" s="3339"/>
      <c r="J135" s="3338">
        <f>SUM(J133:J134)</f>
        <v>0</v>
      </c>
      <c r="K135" s="3339"/>
      <c r="L135" s="828"/>
      <c r="M135" s="3338">
        <f>SUM(M133:M134)</f>
        <v>0</v>
      </c>
      <c r="N135" s="3339"/>
      <c r="P135" s="3338">
        <f>SUM(P133:P134)</f>
        <v>0</v>
      </c>
      <c r="Q135" s="3339"/>
      <c r="S135" s="3338">
        <f>SUM(S129:S134)</f>
        <v>275489</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11432050</v>
      </c>
      <c r="H146" s="3487"/>
      <c r="J146" s="3486">
        <f>J18+J24+J28+J36+J41+J46+J55+J73+J86+J92+J103+J114+J120+J127+J135+J144</f>
        <v>10414293</v>
      </c>
      <c r="K146" s="3487"/>
      <c r="M146" s="3486">
        <f>M18+M24+M28+M36+M41+M46+M55+M73+M86+M92+M103+M114+M120+M127+M135+M144</f>
        <v>0</v>
      </c>
      <c r="N146" s="3487"/>
      <c r="P146" s="3486">
        <f>P18+P24+P28+P36+P41+P46+P55+P73+P86+P92+P103+P114+P120+P127+P135+P144</f>
        <v>0</v>
      </c>
      <c r="Q146" s="3487"/>
      <c r="S146" s="3486">
        <f>S18+S24+S28+S36+S41+S46+S55+S73+S86+S92+S103+S114+S120+S127+S135+S144</f>
        <v>1017757</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285801.25</v>
      </c>
      <c r="E148" s="3483"/>
      <c r="F148" s="390" t="s">
        <v>2487</v>
      </c>
      <c r="G148" s="3484">
        <f>IF('Part V-Revenues &amp; Expenses'!$K$175=0,0,G146/'Part V-Revenues &amp; Expenses'!$K$175)</f>
        <v>203.83072424490959</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10414293</v>
      </c>
      <c r="K162" s="3335"/>
      <c r="M162" s="3336">
        <f>M146</f>
        <v>0</v>
      </c>
      <c r="N162" s="3337"/>
      <c r="P162" s="3334">
        <f>P146</f>
        <v>0</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10414293</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7098</v>
      </c>
      <c r="I165" s="3420"/>
      <c r="J165" s="3421">
        <v>1.3</v>
      </c>
      <c r="K165" s="3422"/>
      <c r="M165" s="3423"/>
      <c r="N165" s="3423"/>
      <c r="P165" s="3421"/>
      <c r="Q165" s="3422"/>
      <c r="R165" s="3470" t="s">
        <v>3204</v>
      </c>
      <c r="S165" s="3471"/>
      <c r="T165" s="3472"/>
      <c r="U165" s="1170"/>
      <c r="V165" s="849"/>
      <c r="W165" s="3342"/>
      <c r="X165" s="3343"/>
      <c r="AZ165" s="1968"/>
      <c r="BA165" s="1706">
        <v>165</v>
      </c>
    </row>
    <row r="166" spans="1:53" s="144" customFormat="1" ht="14.1" customHeight="1">
      <c r="B166" s="144" t="s">
        <v>1903</v>
      </c>
      <c r="J166" s="3355">
        <f>J164*J165</f>
        <v>13538580.9</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13538580.9</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1218472.281</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1218472</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11432050</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641200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10790850</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2652</v>
      </c>
      <c r="V179" s="849"/>
      <c r="W179" s="3342"/>
      <c r="X179" s="3343"/>
      <c r="AZ179" s="1968"/>
      <c r="BA179" s="1706">
        <v>179</v>
      </c>
    </row>
    <row r="180" spans="1:53" s="144" customFormat="1" ht="14.1" customHeight="1">
      <c r="B180" s="144" t="s">
        <v>1210</v>
      </c>
      <c r="J180" s="3353">
        <f>J178/10</f>
        <v>1079085</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1.35</v>
      </c>
      <c r="K182" s="3441"/>
      <c r="L182" s="3442"/>
      <c r="M182" s="248" t="s">
        <v>1212</v>
      </c>
      <c r="N182" s="3443">
        <v>0.83</v>
      </c>
      <c r="O182" s="3444"/>
      <c r="P182" s="248" t="s">
        <v>570</v>
      </c>
      <c r="Q182" s="3443">
        <v>0.52</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799322</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v>799322</v>
      </c>
      <c r="K187" s="3446"/>
      <c r="L187" s="3447"/>
      <c r="Q187" s="147" t="s">
        <v>6247</v>
      </c>
      <c r="R187" s="147"/>
      <c r="S187" s="3332" t="str">
        <f>'Part VIII Scoring Criteria'!$J$36</f>
        <v>Other Metro</v>
      </c>
      <c r="T187" s="3333"/>
      <c r="U187" s="1622" t="str">
        <f>IF(OR(S187="Atlanta Metro", "Other Metro"), "Metro", IF(S187="Rural","Rural",""))</f>
        <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799212</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799212</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7125</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65625" defaultRowHeight="12.75"/>
  <cols>
    <col min="1" max="1" width="7.265625" style="432" customWidth="1"/>
    <col min="2" max="2" width="12.73046875" style="432" customWidth="1"/>
    <col min="3" max="3" width="7.73046875" style="432" customWidth="1"/>
    <col min="4" max="4" width="12.73046875" style="432" customWidth="1"/>
    <col min="5" max="5" width="0.73046875" style="432" customWidth="1"/>
    <col min="6" max="6" width="46.73046875" style="432" customWidth="1"/>
    <col min="7" max="7" width="0.73046875" style="432" customWidth="1"/>
    <col min="8" max="8" width="46.73046875" style="432" customWidth="1"/>
    <col min="9" max="16384" width="9.265625" style="432"/>
  </cols>
  <sheetData>
    <row r="1" spans="1:14" ht="15">
      <c r="A1" s="3504" t="str">
        <f>CONCATENATE("PART THREE (B) -  OTHER COSTS","  -  ",'Part I-Project Identification'!$O$7," - ",'Part I-Project Identification'!$F$25,"  -  ",'Part I-Project Identification'!$F$26,"  -  ",'Part I-Project Identification'!$J$26,",  ","County")</f>
        <v>PART THREE (B) -  OTHER COSTS  -  2023-0 - Dogwood Trail Apartments II  -  Albany  -  Dougherty,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15">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ht="13.15">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0.15">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ht="13.15">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ht="13.15">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ht="13.15">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ht="13.15">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0.1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0.1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ht="13.15">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0.15">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ht="13.15">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ht="13.15">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0.15"/>
    <row r="83" spans="4:8" s="725" customFormat="1" ht="10.15"/>
    <row r="84" spans="4:8" s="725" customFormat="1" ht="10.15"/>
    <row r="85" spans="4:8" s="725" customFormat="1" ht="10.15"/>
    <row r="86" spans="4:8" s="725" customFormat="1" ht="10.15"/>
    <row r="87" spans="4:8" s="725" customFormat="1" ht="10.15"/>
    <row r="88" spans="4:8" s="725" customFormat="1" ht="10.15"/>
    <row r="89" spans="4:8" s="725" customFormat="1" ht="10.15"/>
    <row r="90" spans="4:8" s="725" customFormat="1" ht="10.15"/>
    <row r="91" spans="4:8" s="725" customFormat="1" ht="10.15"/>
    <row r="92" spans="4:8" s="725" customFormat="1" ht="10.15"/>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4" zoomScaleNormal="100" workbookViewId="0">
      <selection activeCell="B44" sqref="B44"/>
    </sheetView>
  </sheetViews>
  <sheetFormatPr defaultColWidth="8.73046875" defaultRowHeight="12.75"/>
  <cols>
    <col min="1" max="1" width="2.265625" customWidth="1"/>
    <col min="4" max="4" width="12.73046875" customWidth="1"/>
    <col min="5" max="5" width="9.3984375" customWidth="1"/>
    <col min="6" max="7" width="9.73046875" customWidth="1"/>
    <col min="8" max="8" width="8.265625" customWidth="1"/>
    <col min="9" max="13" width="10.73046875" customWidth="1"/>
    <col min="14" max="14" width="3" customWidth="1"/>
    <col min="18" max="18" width="8.730468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Dogwood Trail Apartments II, Albany, Dougherty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South</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7051</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7052</v>
      </c>
      <c r="E12" s="3528"/>
      <c r="F12" s="207" t="s">
        <v>416</v>
      </c>
      <c r="G12" s="207"/>
      <c r="H12" s="804"/>
      <c r="I12" s="1266"/>
      <c r="J12" s="1266">
        <v>4</v>
      </c>
      <c r="K12" s="1266">
        <v>5</v>
      </c>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c r="M13" s="1268"/>
      <c r="O13" s="3540" t="s">
        <v>3275</v>
      </c>
      <c r="P13" s="3540"/>
      <c r="Q13" s="3540"/>
    </row>
    <row r="14" spans="1:25" s="6" customFormat="1" ht="12" customHeight="1">
      <c r="B14" s="1275" t="s">
        <v>1493</v>
      </c>
      <c r="C14" s="1276"/>
      <c r="D14" s="3547" t="s">
        <v>1491</v>
      </c>
      <c r="E14" s="3548"/>
      <c r="F14" s="208" t="s">
        <v>416</v>
      </c>
      <c r="G14" s="208"/>
      <c r="H14" s="203"/>
      <c r="I14" s="1267"/>
      <c r="J14" s="1267">
        <v>14</v>
      </c>
      <c r="K14" s="1267">
        <v>19</v>
      </c>
      <c r="L14" s="1268"/>
      <c r="M14" s="1268"/>
      <c r="O14" s="3540"/>
      <c r="P14" s="3540"/>
      <c r="Q14" s="3540"/>
    </row>
    <row r="15" spans="1:25" s="6" customFormat="1" ht="12" customHeight="1">
      <c r="B15" s="1277" t="s">
        <v>440</v>
      </c>
      <c r="C15" s="1278"/>
      <c r="D15" s="1277" t="s">
        <v>1491</v>
      </c>
      <c r="E15" s="204"/>
      <c r="F15" s="208" t="s">
        <v>416</v>
      </c>
      <c r="G15" s="208"/>
      <c r="H15" s="802"/>
      <c r="I15" s="1267"/>
      <c r="J15" s="1267">
        <v>10</v>
      </c>
      <c r="K15" s="1267">
        <v>13</v>
      </c>
      <c r="L15" s="1268"/>
      <c r="M15" s="1268"/>
      <c r="O15" s="3540"/>
      <c r="P15" s="3540"/>
      <c r="Q15" s="3540"/>
    </row>
    <row r="16" spans="1:25" s="6" customFormat="1" ht="12" customHeight="1">
      <c r="B16" s="1279" t="s">
        <v>3269</v>
      </c>
      <c r="C16" s="1274"/>
      <c r="D16" s="1273" t="s">
        <v>1491</v>
      </c>
      <c r="E16" s="801"/>
      <c r="F16" s="208"/>
      <c r="G16" s="208"/>
      <c r="H16" s="803"/>
      <c r="I16" s="1267"/>
      <c r="J16" s="1267"/>
      <c r="K16" s="1267"/>
      <c r="L16" s="1268"/>
      <c r="M16" s="1268"/>
      <c r="O16" s="3540"/>
      <c r="P16" s="3540"/>
      <c r="Q16" s="3540"/>
    </row>
    <row r="17" spans="1:25" s="6" customFormat="1" ht="12" customHeight="1">
      <c r="B17" s="1279" t="s">
        <v>3270</v>
      </c>
      <c r="C17" s="1274"/>
      <c r="D17" s="1273" t="s">
        <v>1491</v>
      </c>
      <c r="E17" s="801"/>
      <c r="F17" s="208"/>
      <c r="G17" s="208"/>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21</v>
      </c>
      <c r="K18" s="1267">
        <v>27</v>
      </c>
      <c r="L18" s="1268"/>
      <c r="M18" s="1268"/>
      <c r="O18" s="3540"/>
      <c r="P18" s="3540"/>
      <c r="Q18" s="3540"/>
    </row>
    <row r="19" spans="1:25" s="6" customFormat="1" ht="12" customHeight="1">
      <c r="B19" s="1277" t="s">
        <v>1292</v>
      </c>
      <c r="C19" s="1278"/>
      <c r="D19" s="1283" t="s">
        <v>3076</v>
      </c>
      <c r="E19" s="1265" t="s">
        <v>2652</v>
      </c>
      <c r="F19" s="208" t="s">
        <v>416</v>
      </c>
      <c r="G19" s="208"/>
      <c r="H19" s="802"/>
      <c r="I19" s="1267"/>
      <c r="J19" s="1267">
        <v>43</v>
      </c>
      <c r="K19" s="1267">
        <v>54</v>
      </c>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ht="13.15">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15">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ht="13.15">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ht="13.15">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ht="13.15">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7100</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Mitchell Davenport</cp:lastModifiedBy>
  <cp:lastPrinted>2023-05-14T16:12:47Z</cp:lastPrinted>
  <dcterms:created xsi:type="dcterms:W3CDTF">2005-09-15T20:51:37Z</dcterms:created>
  <dcterms:modified xsi:type="dcterms:W3CDTF">2023-05-19T12:59:41Z</dcterms:modified>
</cp:coreProperties>
</file>