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showInkAnnotation="0" codeName="ThisWorkbook" defaultThemeVersion="124226"/>
  <mc:AlternateContent xmlns:mc="http://schemas.openxmlformats.org/markup-compatibility/2006">
    <mc:Choice Requires="x15">
      <x15ac:absPath xmlns:x15ac="http://schemas.microsoft.com/office/spreadsheetml/2010/11/ac" url="https://miruspartners.sharepoint.com/sites/CDC/CDCDocs/2023 Applications/Georgia/Application-Campbellton/2023-0xxFHCamp/"/>
    </mc:Choice>
  </mc:AlternateContent>
  <xr:revisionPtr revIDLastSave="252" documentId="13_ncr:1_{489F90C0-138B-4148-B9B9-2AC4945896A5}" xr6:coauthVersionLast="47" xr6:coauthVersionMax="47" xr10:uidLastSave="{3A49525D-9223-4718-94EA-02179600F5C5}"/>
  <workbookProtection workbookAlgorithmName="SHA-512" workbookHashValue="v70Tp6Of30WbIHn2aXJQbU4I7DX0EQwbCAYEFlIstVZn+oSYdfZvfDeDKiE20+aFPaBukCvRNDFlth/S/9mEGw==" workbookSaltValue="tj4P3B3cTgcc4HGdVjioeQ==" workbookSpinCount="100000" lockStructure="1"/>
  <bookViews>
    <workbookView xWindow="32640" yWindow="-16000" windowWidth="22440" windowHeight="16080" tabRatio="872"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3" i="78" l="1"/>
  <c r="S64" i="78"/>
  <c r="S66" i="78"/>
  <c r="S67" i="78"/>
  <c r="S68" i="78"/>
  <c r="S70"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E31" i="102" l="1"/>
  <c r="E1182" i="103" s="1"/>
  <c r="O1516" i="103"/>
  <c r="D36" i="102"/>
  <c r="D1187" i="103" s="1"/>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O1245" i="103"/>
  <c r="O86" i="102"/>
  <c r="O1237" i="103" s="1"/>
  <c r="P1245" i="103"/>
  <c r="P86" i="102"/>
  <c r="P1237" i="103" s="1"/>
  <c r="BG1575" i="103" s="1"/>
  <c r="P66" i="102"/>
  <c r="P1217" i="103" s="1"/>
  <c r="BG1573" i="103" s="1"/>
  <c r="O1219" i="103"/>
  <c r="O66" i="102"/>
  <c r="O1217" i="103" s="1"/>
  <c r="AH449" i="102"/>
  <c r="AH1600" i="103" s="1"/>
  <c r="E21" i="102"/>
  <c r="E1172" i="103" s="1"/>
  <c r="O1351" i="103"/>
  <c r="E34" i="102"/>
  <c r="C1187" i="103"/>
  <c r="R312" i="102"/>
  <c r="O1463" i="103"/>
  <c r="BH449" i="102"/>
  <c r="BH1600" i="103" s="1"/>
  <c r="AJ449" i="102"/>
  <c r="AJ1600" i="103" s="1"/>
  <c r="BF432" i="102"/>
  <c r="P1351" i="103"/>
  <c r="BF1583"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O1330" i="103"/>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9" i="103" l="1"/>
  <c r="Q612" i="103"/>
  <c r="M535" i="103"/>
  <c r="M517" i="103"/>
  <c r="N526"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4" i="75"/>
  <c r="J471" i="103" s="1"/>
  <c r="L471" i="103" s="1"/>
  <c r="M471"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J25" i="75" s="1"/>
  <c r="J472" i="103" s="1"/>
  <c r="L472" i="103" s="1"/>
  <c r="M472"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827" i="103"/>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827" i="103"/>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P83" i="103" l="1"/>
  <c r="I58" i="74"/>
  <c r="J19" i="75"/>
  <c r="J466" i="103" s="1"/>
  <c r="L466" i="103" s="1"/>
  <c r="M466" i="103" s="1"/>
  <c r="J26" i="75"/>
  <c r="J473" i="103" s="1"/>
  <c r="L473" i="103" s="1"/>
  <c r="M473" i="103" s="1"/>
  <c r="J22" i="75"/>
  <c r="J469" i="103" s="1"/>
  <c r="L469" i="103" s="1"/>
  <c r="M469" i="103" s="1"/>
  <c r="B834" i="103"/>
  <c r="B838" i="103"/>
  <c r="J773" i="103"/>
  <c r="J777" i="103"/>
  <c r="D834" i="103"/>
  <c r="D838" i="103"/>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F58" i="74"/>
  <c r="F765" i="103" s="1"/>
  <c r="E26" i="74"/>
  <c r="E733" i="103" s="1"/>
  <c r="D58" i="74"/>
  <c r="D765" i="103" s="1"/>
  <c r="H58" i="74"/>
  <c r="H765" i="103" s="1"/>
  <c r="E58" i="74"/>
  <c r="E765" i="103" s="1"/>
  <c r="I797" i="103"/>
  <c r="G797" i="103"/>
  <c r="G58" i="74"/>
  <c r="G765" i="103" s="1"/>
  <c r="J26" i="74"/>
  <c r="J733" i="103" s="1"/>
  <c r="F797" i="103"/>
  <c r="B58" i="74"/>
  <c r="B765" i="103" s="1"/>
  <c r="E827" i="103"/>
  <c r="K26" i="74"/>
  <c r="E797" i="103"/>
  <c r="D26" i="74"/>
  <c r="D733" i="103" s="1"/>
  <c r="C797" i="103"/>
  <c r="C58" i="74"/>
  <c r="C765" i="103" s="1"/>
  <c r="F26" i="74"/>
  <c r="F733" i="103" s="1"/>
  <c r="F827" i="103"/>
  <c r="B797" i="103"/>
  <c r="H797" i="103"/>
  <c r="C26" i="74"/>
  <c r="C733" i="103" s="1"/>
  <c r="I765" i="103"/>
  <c r="D797" i="103"/>
  <c r="G26" i="74"/>
  <c r="G733" i="103" s="1"/>
  <c r="C827" i="103"/>
  <c r="C32" i="74"/>
  <c r="D14" i="86" s="1"/>
  <c r="K27" i="87"/>
  <c r="H40" i="87"/>
  <c r="H13" i="87"/>
  <c r="H28" i="87"/>
  <c r="H42" i="87"/>
  <c r="H33" i="87"/>
  <c r="H18" i="87"/>
  <c r="H31" i="87"/>
  <c r="K24" i="87"/>
  <c r="H22" i="87"/>
  <c r="C12" i="86"/>
  <c r="H26" i="87"/>
  <c r="H44" i="87"/>
  <c r="H17" i="87"/>
  <c r="H30" i="87"/>
  <c r="H12" i="87"/>
  <c r="H41" i="87"/>
  <c r="H21" i="87"/>
  <c r="H35" i="87"/>
  <c r="G97" i="74"/>
  <c r="F97" i="74"/>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97" i="74"/>
  <c r="B37" i="87"/>
  <c r="I69" i="74"/>
  <c r="J99" i="74"/>
  <c r="B16" i="87"/>
  <c r="F99" i="74"/>
  <c r="B14" i="87"/>
  <c r="B34" i="87"/>
  <c r="B11" i="87"/>
  <c r="C128" i="74"/>
  <c r="E41" i="87"/>
  <c r="E21" i="87"/>
  <c r="F84" i="92"/>
  <c r="G36" i="74"/>
  <c r="K66" i="74"/>
  <c r="B29" i="87"/>
  <c r="H68" i="74"/>
  <c r="I36" i="74"/>
  <c r="D36" i="74"/>
  <c r="C68" i="74"/>
  <c r="E130" i="74"/>
  <c r="B10" i="87"/>
  <c r="B17" i="87"/>
  <c r="D99" i="74"/>
  <c r="B68" i="74"/>
  <c r="H36" i="74"/>
  <c r="G68" i="74"/>
  <c r="D127" i="74"/>
  <c r="B42" i="87"/>
  <c r="B27" i="87"/>
  <c r="B13" i="87"/>
  <c r="H99" i="74"/>
  <c r="E39" i="87"/>
  <c r="B32" i="87"/>
  <c r="C127" i="74"/>
  <c r="B41" i="87"/>
  <c r="K97" i="74"/>
  <c r="B39" i="87"/>
  <c r="B40" i="87"/>
  <c r="J66" i="74"/>
  <c r="B28" i="87"/>
  <c r="B129" i="74"/>
  <c r="J68" i="74"/>
  <c r="E99" i="74"/>
  <c r="F69" i="74"/>
  <c r="B33" i="87"/>
  <c r="D68" i="74"/>
  <c r="E16" i="87"/>
  <c r="B35"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C97" i="74"/>
  <c r="F55" i="78"/>
  <c r="B5" i="92"/>
  <c r="J21" i="75"/>
  <c r="J468" i="103" s="1"/>
  <c r="L468" i="103" s="1"/>
  <c r="M468" i="103" s="1"/>
  <c r="F40" i="78"/>
  <c r="D32" i="74"/>
  <c r="F38" i="78"/>
  <c r="J23" i="75"/>
  <c r="J470" i="103" s="1"/>
  <c r="L470" i="103" s="1"/>
  <c r="M470" i="103" s="1"/>
  <c r="I32" i="74"/>
  <c r="H32" i="74"/>
  <c r="C21" i="90"/>
  <c r="K32" i="74"/>
  <c r="G32" i="74"/>
  <c r="E97"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D97" i="74"/>
  <c r="G12" i="86"/>
  <c r="C31" i="74"/>
  <c r="C738" i="103"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5" i="87" l="1"/>
  <c r="B20" i="87"/>
  <c r="B22" i="87"/>
  <c r="B44" i="87"/>
  <c r="I66" i="74"/>
  <c r="B12" i="87"/>
  <c r="B31" i="87"/>
  <c r="B36" i="87"/>
  <c r="B30" i="87"/>
  <c r="E127" i="74"/>
  <c r="B97" i="74"/>
  <c r="B43" i="87"/>
  <c r="B26" i="87"/>
  <c r="C771" i="103"/>
  <c r="B771" i="103"/>
  <c r="J739" i="103"/>
  <c r="D739" i="103"/>
  <c r="B739" i="103"/>
  <c r="B44" i="74"/>
  <c r="B751" i="103" s="1"/>
  <c r="F739" i="103"/>
  <c r="G739" i="103"/>
  <c r="K739" i="103"/>
  <c r="F771" i="103"/>
  <c r="E739" i="103"/>
  <c r="H739" i="103"/>
  <c r="C739" i="103"/>
  <c r="C44" i="74"/>
  <c r="C751" i="103" s="1"/>
  <c r="D771" i="103"/>
  <c r="E771" i="103"/>
  <c r="I739" i="103"/>
  <c r="D804" i="103"/>
  <c r="D808" i="103"/>
  <c r="C804" i="103"/>
  <c r="C808" i="103"/>
  <c r="J97" i="74"/>
  <c r="J797" i="103"/>
  <c r="I773" i="103"/>
  <c r="I777" i="103"/>
  <c r="G804" i="103"/>
  <c r="G808" i="103"/>
  <c r="K773" i="103"/>
  <c r="K777" i="103"/>
  <c r="C40" i="74"/>
  <c r="E808" i="103"/>
  <c r="E804" i="103"/>
  <c r="I808" i="103"/>
  <c r="I804" i="103"/>
  <c r="K804" i="103"/>
  <c r="K808" i="103"/>
  <c r="H804" i="103"/>
  <c r="H808" i="103"/>
  <c r="K733" i="103"/>
  <c r="H97" i="74"/>
  <c r="B804" i="103"/>
  <c r="B808" i="103"/>
  <c r="E834" i="103"/>
  <c r="E838" i="103"/>
  <c r="B23" i="87"/>
  <c r="F834" i="103"/>
  <c r="F838" i="103"/>
  <c r="I75" i="100"/>
  <c r="I77" i="100" s="1"/>
  <c r="G75" i="100"/>
  <c r="G77" i="100" s="1"/>
  <c r="E75" i="100"/>
  <c r="E77" i="100" s="1"/>
  <c r="K75" i="100"/>
  <c r="K77" i="100" s="1"/>
  <c r="C77" i="100"/>
  <c r="B38" i="87"/>
  <c r="C834" i="103"/>
  <c r="C838" i="103"/>
  <c r="F804" i="103"/>
  <c r="F808" i="103"/>
  <c r="P94" i="103"/>
  <c r="P95" i="103"/>
  <c r="I105"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C131" i="74"/>
  <c r="F100" i="74"/>
  <c r="G69" i="74"/>
  <c r="H56" i="73"/>
  <c r="F37" i="78"/>
  <c r="H18" i="84"/>
  <c r="J18" i="84" s="1"/>
  <c r="K129" i="72"/>
  <c r="I129" i="72"/>
  <c r="E65" i="82"/>
  <c r="B45" i="82"/>
  <c r="C75" i="84"/>
  <c r="I75" i="84" s="1"/>
  <c r="I77" i="84" s="1"/>
  <c r="F14" i="86"/>
  <c r="E13" i="87"/>
  <c r="E38" i="87"/>
  <c r="J45" i="82"/>
  <c r="E18" i="87"/>
  <c r="E22" i="87"/>
  <c r="K35" i="74"/>
  <c r="E19" i="87"/>
  <c r="I101" i="74"/>
  <c r="E37" i="87"/>
  <c r="E14" i="87"/>
  <c r="E11" i="87"/>
  <c r="H101" i="74"/>
  <c r="E36" i="87"/>
  <c r="E26" i="87"/>
  <c r="I70" i="74"/>
  <c r="E27" i="87"/>
  <c r="B101" i="74"/>
  <c r="E30" i="87"/>
  <c r="J70" i="74"/>
  <c r="E28" i="87"/>
  <c r="D101" i="74"/>
  <c r="E32" i="87"/>
  <c r="E33" i="87"/>
  <c r="E20" i="87"/>
  <c r="C34" i="86"/>
  <c r="H14" i="86"/>
  <c r="F101" i="74"/>
  <c r="E34" i="87"/>
  <c r="E128" i="74"/>
  <c r="E43" i="87"/>
  <c r="F131" i="74"/>
  <c r="E44" i="87"/>
  <c r="F65" i="82"/>
  <c r="E24" i="87"/>
  <c r="G98" i="74"/>
  <c r="E35" i="87"/>
  <c r="E34" i="86"/>
  <c r="B131" i="74"/>
  <c r="E40" i="87"/>
  <c r="D131" i="74"/>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H98" i="74"/>
  <c r="E101"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D44" i="74" l="1"/>
  <c r="J804" i="103"/>
  <c r="J808" i="103"/>
  <c r="C81" i="100"/>
  <c r="C80" i="100"/>
  <c r="C747" i="103"/>
  <c r="D10" i="86"/>
  <c r="L35" i="68"/>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751" i="103" l="1"/>
  <c r="E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E751" i="103"/>
  <c r="F44"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E722" i="103" l="1"/>
  <c r="D722" i="103"/>
  <c r="G722" i="103"/>
  <c r="F722" i="103"/>
  <c r="C722" i="103"/>
  <c r="F751" i="103"/>
  <c r="G44" i="74"/>
  <c r="J284" i="103"/>
  <c r="Q243" i="75"/>
  <c r="Q234" i="75" s="1"/>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B22" i="74" l="1"/>
  <c r="Q667" i="103" s="1"/>
  <c r="Q220" i="75"/>
  <c r="H722" i="103"/>
  <c r="H53" i="82"/>
  <c r="H738" i="103"/>
  <c r="G751" i="103"/>
  <c r="H44" i="74"/>
  <c r="Q235" i="75"/>
  <c r="E174" i="90"/>
  <c r="E175" i="90" s="1"/>
  <c r="C66" i="84"/>
  <c r="E66" i="84" s="1"/>
  <c r="Q682" i="103"/>
  <c r="B23" i="74"/>
  <c r="B730" i="103" s="1"/>
  <c r="N235" i="75"/>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B729" i="103" l="1"/>
  <c r="E22" i="74"/>
  <c r="E729" i="103" s="1"/>
  <c r="D724" i="103"/>
  <c r="D22" i="74"/>
  <c r="H22" i="74"/>
  <c r="G724" i="103"/>
  <c r="G22" i="74"/>
  <c r="I722" i="103"/>
  <c r="C68" i="84"/>
  <c r="C70" i="84" s="1"/>
  <c r="C72" i="84" s="1"/>
  <c r="Q228" i="75"/>
  <c r="O222" i="75"/>
  <c r="O221" i="75"/>
  <c r="F22" i="74"/>
  <c r="C22" i="74"/>
  <c r="Q675" i="103"/>
  <c r="O669" i="103"/>
  <c r="O668" i="103"/>
  <c r="J31" i="74"/>
  <c r="J738" i="103" s="1"/>
  <c r="I53" i="82"/>
  <c r="H751" i="103"/>
  <c r="I44" i="74"/>
  <c r="D23" i="74"/>
  <c r="D730" i="103" s="1"/>
  <c r="E23" i="74"/>
  <c r="E730" i="103" s="1"/>
  <c r="C13" i="86"/>
  <c r="I66" i="84"/>
  <c r="C23" i="74"/>
  <c r="C730" i="103" s="1"/>
  <c r="K66" i="84"/>
  <c r="G66" i="84"/>
  <c r="I23" i="74"/>
  <c r="I730" i="103" s="1"/>
  <c r="H23" i="74"/>
  <c r="H730" i="103" s="1"/>
  <c r="G23" i="74"/>
  <c r="G730" i="103" s="1"/>
  <c r="F23" i="74"/>
  <c r="F730" i="103" s="1"/>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33" i="86"/>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P676" i="103" l="1"/>
  <c r="N675" i="103"/>
  <c r="Q694" i="103"/>
  <c r="G729" i="103"/>
  <c r="F729" i="103"/>
  <c r="H729" i="103"/>
  <c r="C729" i="103"/>
  <c r="D729" i="103"/>
  <c r="F131" i="78"/>
  <c r="F244" i="103" s="1"/>
  <c r="B21" i="74"/>
  <c r="F130" i="78"/>
  <c r="F243" i="103" s="1"/>
  <c r="P229" i="75"/>
  <c r="N228" i="75"/>
  <c r="Q247" i="75"/>
  <c r="K68" i="84"/>
  <c r="K70" i="84" s="1"/>
  <c r="E68" i="84"/>
  <c r="E70" i="84" s="1"/>
  <c r="E76" i="84" s="1"/>
  <c r="E73" i="84" s="1"/>
  <c r="G68" i="84"/>
  <c r="G70" i="84" s="1"/>
  <c r="G76" i="84" s="1"/>
  <c r="G73" i="84" s="1"/>
  <c r="I68" i="84"/>
  <c r="I70" i="84" s="1"/>
  <c r="J722" i="103"/>
  <c r="I22" i="74"/>
  <c r="I751" i="103"/>
  <c r="J44" i="74"/>
  <c r="C76" i="84"/>
  <c r="C73" i="84" s="1"/>
  <c r="E13" i="86"/>
  <c r="D13" i="86"/>
  <c r="G13" i="86"/>
  <c r="I13" i="86"/>
  <c r="F13" i="86"/>
  <c r="H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J724" i="103" s="1"/>
  <c r="E72" i="84" l="1"/>
  <c r="I76" i="84"/>
  <c r="I73" i="84" s="1"/>
  <c r="I72" i="84"/>
  <c r="K72" i="84"/>
  <c r="K76" i="84"/>
  <c r="K73" i="84" s="1"/>
  <c r="I729" i="103"/>
  <c r="B728" i="103"/>
  <c r="F21" i="74"/>
  <c r="E21" i="74"/>
  <c r="C21" i="74"/>
  <c r="D21" i="74"/>
  <c r="G21" i="74"/>
  <c r="H21" i="74"/>
  <c r="B39" i="74"/>
  <c r="I21" i="74"/>
  <c r="I728" i="103" s="1"/>
  <c r="J21" i="74"/>
  <c r="J728" i="103" s="1"/>
  <c r="B25" i="74"/>
  <c r="J22" i="74"/>
  <c r="K21" i="74"/>
  <c r="K728" i="103" s="1"/>
  <c r="K722" i="103"/>
  <c r="J751" i="103"/>
  <c r="K44" i="74"/>
  <c r="G72" i="84"/>
  <c r="E30" i="86"/>
  <c r="B15" i="82"/>
  <c r="J183" i="78"/>
  <c r="M189" i="78" s="1"/>
  <c r="B72" i="74"/>
  <c r="B779" i="103" s="1"/>
  <c r="J20" i="74"/>
  <c r="J727" i="103" s="1"/>
  <c r="K17" i="74"/>
  <c r="K724" i="103" s="1"/>
  <c r="C46" i="74"/>
  <c r="B56" i="74"/>
  <c r="B48" i="74"/>
  <c r="B755" i="103" s="1"/>
  <c r="B47" i="74"/>
  <c r="B53" i="74"/>
  <c r="B55" i="74"/>
  <c r="B762" i="103" s="1"/>
  <c r="C63" i="74"/>
  <c r="C770" i="103" s="1"/>
  <c r="B73" i="82"/>
  <c r="E33" i="86"/>
  <c r="I746" i="103" l="1"/>
  <c r="K22" i="74"/>
  <c r="K729" i="103" s="1"/>
  <c r="K746" i="103" s="1"/>
  <c r="F728" i="103"/>
  <c r="F25" i="74"/>
  <c r="F39" i="74"/>
  <c r="B746" i="103"/>
  <c r="B732" i="103"/>
  <c r="I39" i="74"/>
  <c r="H728" i="103"/>
  <c r="H25" i="74"/>
  <c r="H39" i="74"/>
  <c r="I25" i="74"/>
  <c r="I33" i="74" s="1"/>
  <c r="G728" i="103"/>
  <c r="G25" i="74"/>
  <c r="G39" i="74"/>
  <c r="B754" i="103"/>
  <c r="I732" i="103"/>
  <c r="C728" i="103"/>
  <c r="C25" i="74"/>
  <c r="C39" i="74"/>
  <c r="J729" i="103"/>
  <c r="J732" i="103" s="1"/>
  <c r="J39" i="74"/>
  <c r="D728" i="103"/>
  <c r="D25" i="74"/>
  <c r="D39" i="74"/>
  <c r="B33" i="74"/>
  <c r="B34" i="74"/>
  <c r="B38" i="74"/>
  <c r="B44" i="82"/>
  <c r="E728" i="103"/>
  <c r="E39" i="74"/>
  <c r="E25" i="74"/>
  <c r="K751" i="103"/>
  <c r="B76" i="74"/>
  <c r="B760" i="103"/>
  <c r="F30" i="86"/>
  <c r="C72" i="74"/>
  <c r="C779" i="103" s="1"/>
  <c r="I44" i="82"/>
  <c r="I51" i="82" s="1"/>
  <c r="J25" i="74"/>
  <c r="C73" i="82"/>
  <c r="D63" i="74"/>
  <c r="D770" i="103" s="1"/>
  <c r="C48" i="74"/>
  <c r="C755" i="103" s="1"/>
  <c r="C56" i="74"/>
  <c r="D46" i="74"/>
  <c r="C47" i="74"/>
  <c r="C53" i="74"/>
  <c r="C55" i="74"/>
  <c r="C762" i="103" s="1"/>
  <c r="B49" i="74"/>
  <c r="B756" i="103" s="1"/>
  <c r="F33" i="86"/>
  <c r="K20" i="74"/>
  <c r="K727" i="103" s="1"/>
  <c r="K732" i="103" s="1"/>
  <c r="K39" i="74" l="1"/>
  <c r="J740" i="103"/>
  <c r="J741" i="103"/>
  <c r="J745" i="103"/>
  <c r="H746" i="103"/>
  <c r="H732" i="103"/>
  <c r="J746" i="103"/>
  <c r="C33" i="74"/>
  <c r="S22" i="74" s="1"/>
  <c r="C34" i="74"/>
  <c r="C38" i="74"/>
  <c r="C44" i="82"/>
  <c r="G44" i="82"/>
  <c r="G34" i="74"/>
  <c r="G38" i="74"/>
  <c r="G33" i="74"/>
  <c r="H9" i="86" s="1"/>
  <c r="H17" i="86" s="1"/>
  <c r="H18" i="86" s="1"/>
  <c r="H20" i="86" s="1"/>
  <c r="H24" i="86" s="1"/>
  <c r="K11" i="86" s="1"/>
  <c r="B740" i="103"/>
  <c r="B745" i="103"/>
  <c r="B741" i="103"/>
  <c r="E746" i="103"/>
  <c r="E732" i="103"/>
  <c r="C746" i="103"/>
  <c r="C732" i="103"/>
  <c r="G746" i="103"/>
  <c r="G732" i="103"/>
  <c r="I34" i="74"/>
  <c r="I38" i="74"/>
  <c r="B51" i="82"/>
  <c r="B46" i="82"/>
  <c r="K740" i="103"/>
  <c r="K741" i="103"/>
  <c r="K745" i="103"/>
  <c r="J34" i="74"/>
  <c r="J38" i="74"/>
  <c r="E34" i="74"/>
  <c r="E38" i="74"/>
  <c r="E33" i="74"/>
  <c r="F9" i="86" s="1"/>
  <c r="F17" i="86" s="1"/>
  <c r="F18" i="86" s="1"/>
  <c r="F20" i="86" s="1"/>
  <c r="F24" i="86" s="1"/>
  <c r="K9" i="86" s="1"/>
  <c r="E44" i="82"/>
  <c r="D38" i="74"/>
  <c r="D34" i="74"/>
  <c r="D44" i="82"/>
  <c r="D33" i="74"/>
  <c r="E9" i="86" s="1"/>
  <c r="E17" i="86" s="1"/>
  <c r="E18" i="86" s="1"/>
  <c r="E20" i="86" s="1"/>
  <c r="E24" i="86" s="1"/>
  <c r="K8" i="86" s="1"/>
  <c r="I740" i="103"/>
  <c r="I745" i="103"/>
  <c r="I741" i="103"/>
  <c r="F34" i="74"/>
  <c r="F38" i="74"/>
  <c r="F44" i="82"/>
  <c r="F33" i="74"/>
  <c r="G9" i="86" s="1"/>
  <c r="G17" i="86" s="1"/>
  <c r="G18" i="86" s="1"/>
  <c r="G20" i="86" s="1"/>
  <c r="G24" i="86" s="1"/>
  <c r="K10" i="86" s="1"/>
  <c r="C754" i="103"/>
  <c r="S21" i="74"/>
  <c r="C9" i="86"/>
  <c r="C17" i="86" s="1"/>
  <c r="C18" i="86" s="1"/>
  <c r="C20" i="86" s="1"/>
  <c r="C24" i="86" s="1"/>
  <c r="K6" i="86" s="1"/>
  <c r="G66" i="86" s="1"/>
  <c r="N92" i="85" s="1"/>
  <c r="D746" i="103"/>
  <c r="D732" i="103"/>
  <c r="B54" i="74"/>
  <c r="H34" i="74"/>
  <c r="H38" i="74"/>
  <c r="H44" i="82"/>
  <c r="H33" i="74"/>
  <c r="I9" i="86" s="1"/>
  <c r="I17" i="86" s="1"/>
  <c r="I18" i="86" s="1"/>
  <c r="I20" i="86" s="1"/>
  <c r="I24" i="86" s="1"/>
  <c r="K12" i="86" s="1"/>
  <c r="F746" i="103"/>
  <c r="F732" i="103"/>
  <c r="B783" i="103"/>
  <c r="C76" i="74"/>
  <c r="C760" i="103"/>
  <c r="G30" i="86"/>
  <c r="D72" i="74"/>
  <c r="D779" i="103" s="1"/>
  <c r="I46" i="82"/>
  <c r="J33" i="74"/>
  <c r="J44" i="82"/>
  <c r="J46" i="82" s="1"/>
  <c r="C29" i="86"/>
  <c r="C37" i="86" s="1"/>
  <c r="C38" i="86" s="1"/>
  <c r="C40" i="86" s="1"/>
  <c r="C44" i="86" s="1"/>
  <c r="K13" i="86" s="1"/>
  <c r="E46" i="74"/>
  <c r="D56" i="74"/>
  <c r="D48" i="74"/>
  <c r="D755" i="103" s="1"/>
  <c r="D47" i="74"/>
  <c r="D53" i="74"/>
  <c r="D55" i="74"/>
  <c r="D762" i="103" s="1"/>
  <c r="E63" i="74"/>
  <c r="E770" i="103" s="1"/>
  <c r="D73" i="82"/>
  <c r="G33" i="86"/>
  <c r="K25" i="74"/>
  <c r="B52" i="74"/>
  <c r="B759" i="103" s="1"/>
  <c r="C49" i="74"/>
  <c r="C756" i="103" s="1"/>
  <c r="S27" i="74" l="1"/>
  <c r="D754" i="103"/>
  <c r="F740" i="103"/>
  <c r="F745" i="103"/>
  <c r="F741" i="103"/>
  <c r="F46" i="82"/>
  <c r="F51" i="82"/>
  <c r="D9" i="86"/>
  <c r="D17" i="86" s="1"/>
  <c r="D18" i="86" s="1"/>
  <c r="D20" i="86" s="1"/>
  <c r="D24" i="86" s="1"/>
  <c r="K7" i="86" s="1"/>
  <c r="S23" i="74"/>
  <c r="S26" i="74"/>
  <c r="S24" i="74"/>
  <c r="H740" i="103"/>
  <c r="H741" i="103"/>
  <c r="H745" i="103"/>
  <c r="C740" i="103"/>
  <c r="C741" i="103"/>
  <c r="C745" i="103"/>
  <c r="E46" i="82"/>
  <c r="E51" i="82"/>
  <c r="E740" i="103"/>
  <c r="E745" i="103"/>
  <c r="E741" i="103"/>
  <c r="G51" i="82"/>
  <c r="G46" i="82"/>
  <c r="S25" i="74"/>
  <c r="H46" i="82"/>
  <c r="H51" i="82"/>
  <c r="S28" i="74"/>
  <c r="C54" i="74"/>
  <c r="C46" i="82"/>
  <c r="C51" i="82"/>
  <c r="K34" i="74"/>
  <c r="K38" i="74"/>
  <c r="B761" i="103"/>
  <c r="B778" i="103" s="1"/>
  <c r="B71" i="74"/>
  <c r="D740" i="103"/>
  <c r="D741" i="103"/>
  <c r="D745" i="103"/>
  <c r="D46" i="82"/>
  <c r="D51" i="82"/>
  <c r="G740" i="103"/>
  <c r="G745" i="103"/>
  <c r="G741" i="103"/>
  <c r="C783" i="103"/>
  <c r="D76" i="74"/>
  <c r="D760" i="103"/>
  <c r="H30" i="86"/>
  <c r="E72" i="74"/>
  <c r="E779" i="103" s="1"/>
  <c r="J51" i="82"/>
  <c r="S29" i="74"/>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C761" i="103" l="1"/>
  <c r="C778" i="103" s="1"/>
  <c r="C71" i="74"/>
  <c r="C764" i="103"/>
  <c r="B66" i="74"/>
  <c r="B70" i="74"/>
  <c r="D54" i="74"/>
  <c r="E754" i="103"/>
  <c r="B764" i="103"/>
  <c r="D783" i="103"/>
  <c r="E76" i="74"/>
  <c r="E760" i="103"/>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B25" i="82" s="1"/>
  <c r="I33" i="86"/>
  <c r="B64" i="82"/>
  <c r="B65" i="74"/>
  <c r="D761" i="103" l="1"/>
  <c r="D778" i="103" s="1"/>
  <c r="D71" i="74"/>
  <c r="C772" i="103"/>
  <c r="C773" i="103"/>
  <c r="C777" i="103"/>
  <c r="F754" i="103"/>
  <c r="D764" i="103"/>
  <c r="B772" i="103"/>
  <c r="B777" i="103"/>
  <c r="B773" i="103"/>
  <c r="C66" i="74"/>
  <c r="C70" i="74"/>
  <c r="E54" i="74"/>
  <c r="E783" i="103"/>
  <c r="F76" i="74"/>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F54" i="74" l="1"/>
  <c r="F761" i="103" s="1"/>
  <c r="D66" i="74"/>
  <c r="D70" i="74"/>
  <c r="E761" i="103"/>
  <c r="E778" i="103" s="1"/>
  <c r="E71" i="74"/>
  <c r="G754" i="103"/>
  <c r="F778" i="103"/>
  <c r="F71" i="74"/>
  <c r="D772" i="103"/>
  <c r="D773" i="103"/>
  <c r="D777" i="103"/>
  <c r="F783" i="103"/>
  <c r="G76" i="74"/>
  <c r="G783" i="103" s="1"/>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E764" i="103" l="1"/>
  <c r="E772" i="103" s="1"/>
  <c r="G54" i="74"/>
  <c r="G761" i="103" s="1"/>
  <c r="E66" i="74"/>
  <c r="E70" i="74"/>
  <c r="E777" i="103"/>
  <c r="G71" i="74"/>
  <c r="H754" i="103"/>
  <c r="F772" i="103"/>
  <c r="F773" i="103"/>
  <c r="F777" i="103"/>
  <c r="G778" i="103"/>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G764" i="103" s="1"/>
  <c r="H49" i="74"/>
  <c r="H756" i="103" s="1"/>
  <c r="J63" i="74"/>
  <c r="J770" i="103" s="1"/>
  <c r="I73" i="82"/>
  <c r="F57" i="74"/>
  <c r="E773" i="103" l="1"/>
  <c r="H54" i="74"/>
  <c r="H761" i="103" s="1"/>
  <c r="F70" i="74"/>
  <c r="F66" i="74"/>
  <c r="I754" i="103"/>
  <c r="I54" i="74"/>
  <c r="I761" i="103" s="1"/>
  <c r="H778" i="103"/>
  <c r="G772" i="103"/>
  <c r="G777" i="103"/>
  <c r="G773" i="103"/>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H71" i="74" l="1"/>
  <c r="I778" i="103"/>
  <c r="J754" i="103"/>
  <c r="I71" i="74"/>
  <c r="H772" i="103"/>
  <c r="H773" i="103"/>
  <c r="H777" i="103"/>
  <c r="G66" i="74"/>
  <c r="G70" i="74"/>
  <c r="J760" i="103"/>
  <c r="F57" i="86"/>
  <c r="F58" i="86" s="1"/>
  <c r="F60" i="86" s="1"/>
  <c r="F64" i="86" s="1"/>
  <c r="K23" i="86" s="1"/>
  <c r="G50" i="86"/>
  <c r="K72" i="74"/>
  <c r="K779" i="103" s="1"/>
  <c r="I52" i="74"/>
  <c r="I759" i="103" s="1"/>
  <c r="I764" i="103" s="1"/>
  <c r="I772" i="103" s="1"/>
  <c r="F66" i="82"/>
  <c r="F71" i="82"/>
  <c r="F74" i="82" s="1"/>
  <c r="G53" i="86"/>
  <c r="G64" i="82"/>
  <c r="G65" i="74"/>
  <c r="J49" i="74"/>
  <c r="J756" i="103" s="1"/>
  <c r="C49" i="86"/>
  <c r="S35" i="74"/>
  <c r="K73" i="82"/>
  <c r="B95" i="74"/>
  <c r="B802" i="103" s="1"/>
  <c r="B78" i="74"/>
  <c r="K56" i="74"/>
  <c r="K47" i="74"/>
  <c r="K48" i="74"/>
  <c r="K755" i="103" s="1"/>
  <c r="K53" i="74"/>
  <c r="K55" i="74"/>
  <c r="K762" i="103" s="1"/>
  <c r="H57" i="74"/>
  <c r="H66" i="74" l="1"/>
  <c r="H70" i="74"/>
  <c r="J54" i="74"/>
  <c r="K754" i="103"/>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K54" i="74" l="1"/>
  <c r="J761" i="103"/>
  <c r="J778" i="103" s="1"/>
  <c r="J71" i="74"/>
  <c r="B786" i="103"/>
  <c r="J764" i="103"/>
  <c r="J772" i="103" s="1"/>
  <c r="B792" i="103"/>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B86" i="74" l="1"/>
  <c r="B793" i="103" s="1"/>
  <c r="B809" i="103" s="1"/>
  <c r="C786" i="103"/>
  <c r="B102" i="74"/>
  <c r="K761" i="103"/>
  <c r="K778" i="103" s="1"/>
  <c r="K71"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B796" i="103" s="1"/>
  <c r="B803" i="103" s="1"/>
  <c r="H75" i="82"/>
  <c r="H76" i="82" s="1"/>
  <c r="K57" i="74"/>
  <c r="K764" i="103" l="1"/>
  <c r="K772" i="103" s="1"/>
  <c r="C86" i="74"/>
  <c r="D786" i="103"/>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D86" i="74" l="1"/>
  <c r="D793" i="103" s="1"/>
  <c r="E786" i="103"/>
  <c r="C793" i="103"/>
  <c r="C809" i="103" s="1"/>
  <c r="C102" i="74"/>
  <c r="D102" i="74"/>
  <c r="D809" i="103"/>
  <c r="E792" i="103"/>
  <c r="F103" i="74"/>
  <c r="F810" i="103" s="1"/>
  <c r="B96" i="74"/>
  <c r="C89" i="74"/>
  <c r="D84" i="74"/>
  <c r="D791" i="103" s="1"/>
  <c r="D796" i="103" s="1"/>
  <c r="D803" i="103" s="1"/>
  <c r="E81" i="74"/>
  <c r="E788" i="103" s="1"/>
  <c r="K71" i="82"/>
  <c r="K74" i="82" s="1"/>
  <c r="K66" i="82"/>
  <c r="F88" i="74"/>
  <c r="G78" i="74"/>
  <c r="F80" i="74"/>
  <c r="F787" i="103" s="1"/>
  <c r="F79" i="74"/>
  <c r="F85" i="74"/>
  <c r="F87" i="74"/>
  <c r="F794" i="103" s="1"/>
  <c r="S40" i="74"/>
  <c r="G95" i="74"/>
  <c r="G802" i="103" s="1"/>
  <c r="E86" i="74" l="1"/>
  <c r="F786" i="103"/>
  <c r="C796" i="103"/>
  <c r="C803" i="103" s="1"/>
  <c r="F792" i="103"/>
  <c r="G103" i="74"/>
  <c r="G810" i="103" s="1"/>
  <c r="C96" i="74"/>
  <c r="E84" i="74"/>
  <c r="E791" i="103" s="1"/>
  <c r="G79" i="74"/>
  <c r="G88" i="74"/>
  <c r="G80" i="74"/>
  <c r="G787" i="103" s="1"/>
  <c r="H78" i="74"/>
  <c r="G85" i="74"/>
  <c r="G87" i="74"/>
  <c r="G794" i="103" s="1"/>
  <c r="K75" i="82"/>
  <c r="K76" i="82" s="1"/>
  <c r="H95" i="74"/>
  <c r="H802" i="103" s="1"/>
  <c r="F81" i="74"/>
  <c r="F788" i="103" s="1"/>
  <c r="D89" i="74"/>
  <c r="F86" i="74" l="1"/>
  <c r="F793" i="103" s="1"/>
  <c r="F809" i="103" s="1"/>
  <c r="G786" i="103"/>
  <c r="E793" i="103"/>
  <c r="E809" i="103" s="1"/>
  <c r="E102" i="74"/>
  <c r="G792" i="103"/>
  <c r="H103" i="74"/>
  <c r="H810" i="103" s="1"/>
  <c r="D96" i="74"/>
  <c r="E89" i="74"/>
  <c r="F84" i="74"/>
  <c r="F791" i="103" s="1"/>
  <c r="F796" i="103" s="1"/>
  <c r="F803" i="103" s="1"/>
  <c r="H88" i="74"/>
  <c r="H80" i="74"/>
  <c r="H787" i="103" s="1"/>
  <c r="H79" i="74"/>
  <c r="I78" i="74"/>
  <c r="H85" i="74"/>
  <c r="H87" i="74"/>
  <c r="H794" i="103" s="1"/>
  <c r="G81" i="74"/>
  <c r="G788" i="103" s="1"/>
  <c r="I95" i="74"/>
  <c r="I802" i="103" s="1"/>
  <c r="F102" i="74" l="1"/>
  <c r="G86" i="74"/>
  <c r="H786" i="103"/>
  <c r="E796" i="103"/>
  <c r="E803" i="103" s="1"/>
  <c r="H792" i="103"/>
  <c r="I103" i="74"/>
  <c r="I810" i="103" s="1"/>
  <c r="E96" i="74"/>
  <c r="F89" i="74"/>
  <c r="G84" i="74"/>
  <c r="G791" i="103" s="1"/>
  <c r="I88" i="74"/>
  <c r="I79" i="74"/>
  <c r="J78" i="74"/>
  <c r="I80" i="74"/>
  <c r="I787" i="103" s="1"/>
  <c r="I85" i="74"/>
  <c r="I87" i="74"/>
  <c r="I794" i="103" s="1"/>
  <c r="H81" i="74"/>
  <c r="H788" i="103" s="1"/>
  <c r="J95" i="74"/>
  <c r="J802" i="103" s="1"/>
  <c r="G793" i="103" l="1"/>
  <c r="G809" i="103" s="1"/>
  <c r="G102" i="74"/>
  <c r="H86" i="74"/>
  <c r="I786" i="103"/>
  <c r="I792" i="103"/>
  <c r="J103" i="74"/>
  <c r="J810" i="103" s="1"/>
  <c r="F96" i="74"/>
  <c r="J80" i="74"/>
  <c r="J787" i="103" s="1"/>
  <c r="K78" i="74"/>
  <c r="J79" i="74"/>
  <c r="J88" i="74"/>
  <c r="J85" i="74"/>
  <c r="J87" i="74"/>
  <c r="J794" i="103" s="1"/>
  <c r="I81" i="74"/>
  <c r="I788" i="103" s="1"/>
  <c r="K95" i="74"/>
  <c r="K802" i="103" s="1"/>
  <c r="G89" i="74"/>
  <c r="H84" i="74"/>
  <c r="H791" i="103" s="1"/>
  <c r="G796" i="103" l="1"/>
  <c r="G803" i="103" s="1"/>
  <c r="H793" i="103"/>
  <c r="H809" i="103" s="1"/>
  <c r="H102" i="74"/>
  <c r="I86" i="74"/>
  <c r="J786" i="103"/>
  <c r="J86" i="74"/>
  <c r="J793" i="103" s="1"/>
  <c r="H796" i="103"/>
  <c r="H803" i="103" s="1"/>
  <c r="J792" i="103"/>
  <c r="K103" i="74"/>
  <c r="K810" i="103" s="1"/>
  <c r="G96" i="74"/>
  <c r="H89" i="74"/>
  <c r="J81" i="74"/>
  <c r="J788" i="103" s="1"/>
  <c r="B125" i="74"/>
  <c r="B832" i="103" s="1"/>
  <c r="K80" i="74"/>
  <c r="K787" i="103" s="1"/>
  <c r="B108" i="74"/>
  <c r="K88" i="74"/>
  <c r="K79" i="74"/>
  <c r="K85" i="74"/>
  <c r="K87" i="74"/>
  <c r="K794" i="103" s="1"/>
  <c r="I84" i="74"/>
  <c r="I791" i="103" s="1"/>
  <c r="J809" i="103" l="1"/>
  <c r="I793" i="103"/>
  <c r="I809" i="103" s="1"/>
  <c r="I102" i="74"/>
  <c r="K786" i="103"/>
  <c r="K86" i="74"/>
  <c r="K793" i="103" s="1"/>
  <c r="J102" i="74"/>
  <c r="K792" i="103"/>
  <c r="B133" i="74"/>
  <c r="B840" i="103" s="1"/>
  <c r="H96" i="74"/>
  <c r="J84" i="74"/>
  <c r="J791" i="103" s="1"/>
  <c r="J796" i="103" s="1"/>
  <c r="J803" i="103" s="1"/>
  <c r="K81" i="74"/>
  <c r="K788" i="103" s="1"/>
  <c r="C125" i="74"/>
  <c r="C832" i="103" s="1"/>
  <c r="I89" i="74"/>
  <c r="B109" i="74"/>
  <c r="C108" i="74"/>
  <c r="B110" i="74"/>
  <c r="B817" i="103" s="1"/>
  <c r="B118" i="74"/>
  <c r="B115" i="74"/>
  <c r="B117" i="74"/>
  <c r="B824" i="103" s="1"/>
  <c r="B816" i="103" l="1"/>
  <c r="K809" i="103"/>
  <c r="K102" i="74"/>
  <c r="I796" i="103"/>
  <c r="I803" i="103" s="1"/>
  <c r="B822" i="103"/>
  <c r="C133" i="74"/>
  <c r="C840" i="103" s="1"/>
  <c r="I96" i="74"/>
  <c r="J89" i="74"/>
  <c r="K84" i="74"/>
  <c r="K791" i="103" s="1"/>
  <c r="K796" i="103" s="1"/>
  <c r="K803" i="103" s="1"/>
  <c r="D108" i="74"/>
  <c r="C109" i="74"/>
  <c r="C118" i="74"/>
  <c r="C110" i="74"/>
  <c r="C817" i="103" s="1"/>
  <c r="C115" i="74"/>
  <c r="C117" i="74"/>
  <c r="C824" i="103" s="1"/>
  <c r="D125" i="74"/>
  <c r="D832" i="103" s="1"/>
  <c r="B111" i="74"/>
  <c r="B818" i="103" s="1"/>
  <c r="C816" i="103" l="1"/>
  <c r="B116" i="74"/>
  <c r="C822" i="103"/>
  <c r="D133" i="74"/>
  <c r="D840" i="103" s="1"/>
  <c r="K89" i="74"/>
  <c r="J96" i="74"/>
  <c r="B114" i="74"/>
  <c r="B821" i="103" s="1"/>
  <c r="C111" i="74"/>
  <c r="C818" i="103" s="1"/>
  <c r="E125" i="74"/>
  <c r="E832" i="103" s="1"/>
  <c r="D118" i="74"/>
  <c r="D109" i="74"/>
  <c r="E108" i="74"/>
  <c r="D110" i="74"/>
  <c r="D817" i="103" s="1"/>
  <c r="D115" i="74"/>
  <c r="D117" i="74"/>
  <c r="D824" i="103" s="1"/>
  <c r="D816" i="103" l="1"/>
  <c r="B823" i="103"/>
  <c r="B839" i="103" s="1"/>
  <c r="B132" i="74"/>
  <c r="C116" i="74"/>
  <c r="B826" i="103"/>
  <c r="B833" i="103" s="1"/>
  <c r="D822" i="103"/>
  <c r="E133" i="74"/>
  <c r="E840" i="103" s="1"/>
  <c r="K96" i="74"/>
  <c r="B119" i="74"/>
  <c r="C114" i="74"/>
  <c r="C821" i="103" s="1"/>
  <c r="F125" i="74"/>
  <c r="F832" i="103" s="1"/>
  <c r="F108" i="74"/>
  <c r="E109" i="74"/>
  <c r="E118" i="74"/>
  <c r="E110" i="74"/>
  <c r="E817" i="103" s="1"/>
  <c r="E115" i="74"/>
  <c r="E117" i="74"/>
  <c r="E824" i="103" s="1"/>
  <c r="D111" i="74"/>
  <c r="D818" i="103" s="1"/>
  <c r="E816" i="103" l="1"/>
  <c r="C823" i="103"/>
  <c r="C839" i="103" s="1"/>
  <c r="C132" i="74"/>
  <c r="D116" i="74"/>
  <c r="C826" i="103"/>
  <c r="C833" i="103" s="1"/>
  <c r="E822" i="103"/>
  <c r="F133" i="74"/>
  <c r="F840" i="103" s="1"/>
  <c r="B126" i="74"/>
  <c r="C119" i="74"/>
  <c r="E111" i="74"/>
  <c r="E818" i="103" s="1"/>
  <c r="F118" i="74"/>
  <c r="F110" i="74"/>
  <c r="F817" i="103" s="1"/>
  <c r="F109" i="74"/>
  <c r="F115" i="74"/>
  <c r="F117" i="74"/>
  <c r="F824" i="103" s="1"/>
  <c r="D114" i="74"/>
  <c r="D821" i="103" s="1"/>
  <c r="F816" i="103" l="1"/>
  <c r="D823" i="103"/>
  <c r="D839" i="103" s="1"/>
  <c r="D132" i="74"/>
  <c r="E116" i="74"/>
  <c r="D826" i="103"/>
  <c r="D833" i="103" s="1"/>
  <c r="F822" i="103"/>
  <c r="C126" i="74"/>
  <c r="E114" i="74"/>
  <c r="E821" i="103" s="1"/>
  <c r="F111" i="74"/>
  <c r="F818" i="103" s="1"/>
  <c r="D119" i="74"/>
  <c r="E823" i="103" l="1"/>
  <c r="E839" i="103" s="1"/>
  <c r="E132" i="74"/>
  <c r="F116" i="74"/>
  <c r="E826" i="103"/>
  <c r="E833" i="103" s="1"/>
  <c r="D126" i="74"/>
  <c r="E119" i="74"/>
  <c r="F114" i="74"/>
  <c r="F821" i="103" s="1"/>
  <c r="F823" i="103" l="1"/>
  <c r="F839" i="103" s="1"/>
  <c r="F132" i="74"/>
  <c r="E126" i="74"/>
  <c r="F119" i="74"/>
  <c r="F826" i="103" l="1"/>
  <c r="F833" i="103" s="1"/>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<sst xmlns="http://schemas.openxmlformats.org/spreadsheetml/2006/main" count="19318" uniqueCount="7139">
  <si>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</si>
  <si>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</si>
  <si>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</si>
  <si>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</si>
  <si>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</si>
  <si>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</si>
  <si>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</si>
  <si>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</si>
  <si>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</si>
  <si>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</si>
  <si>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</si>
  <si>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</si>
  <si>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</si>
  <si>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</si>
  <si>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</si>
  <si>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</si>
  <si>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</si>
  <si>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</si>
  <si>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</si>
  <si>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</si>
  <si>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</si>
  <si>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</si>
  <si>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</si>
  <si>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</si>
  <si>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</si>
  <si>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</si>
  <si>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</si>
  <si>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</si>
  <si>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</si>
  <si>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</si>
  <si>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</si>
  <si>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</si>
  <si>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</si>
  <si>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</si>
  <si>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</si>
  <si>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</si>
  <si>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</si>
  <si>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</si>
  <si>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</si>
  <si>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</si>
  <si>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</si>
  <si>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</si>
  <si>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</si>
  <si>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</si>
  <si>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</si>
  <si>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</si>
  <si>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</si>
  <si>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</si>
  <si>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</si>
  <si>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</si>
  <si>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</si>
  <si>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</si>
  <si>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</si>
  <si>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</si>
  <si>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</si>
  <si>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</si>
  <si>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</si>
  <si>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</si>
  <si>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</si>
  <si>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</si>
  <si>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</si>
  <si>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</si>
  <si>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</si>
  <si>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</si>
  <si>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</si>
  <si>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</si>
  <si>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</si>
  <si>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</si>
  <si>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</si>
  <si>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</si>
  <si>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</si>
  <si>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</si>
  <si>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</si>
  <si>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</si>
  <si>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</si>
  <si>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</si>
  <si>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</si>
  <si>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</si>
  <si>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</si>
  <si>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</si>
  <si>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</si>
  <si>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</si>
  <si>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</si>
  <si>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</si>
  <si>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</si>
  <si>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</si>
  <si>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</si>
  <si>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</si>
  <si>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</si>
  <si>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</si>
  <si>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</si>
  <si>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</si>
  <si>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</si>
  <si>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</si>
  <si>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</si>
  <si>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</si>
  <si>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</si>
  <si>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</si>
  <si>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</si>
  <si>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</si>
  <si>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</si>
  <si>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</si>
  <si>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</si>
  <si>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</si>
  <si>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</si>
  <si>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</si>
  <si>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</si>
  <si>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</si>
  <si>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</si>
  <si>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</si>
  <si>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</si>
  <si>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</si>
  <si>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</si>
  <si>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</si>
  <si>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</si>
  <si>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</si>
  <si>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</si>
  <si>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</si>
  <si>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</si>
  <si>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</si>
  <si>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</si>
  <si>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</si>
  <si>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</si>
  <si>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</si>
  <si>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</si>
  <si>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</si>
  <si>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</si>
  <si>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</si>
  <si>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</si>
  <si>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</si>
  <si>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</si>
  <si>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</si>
  <si>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</si>
  <si>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</si>
  <si>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</si>
  <si>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</si>
  <si>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</si>
  <si>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</si>
  <si>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</si>
  <si>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</si>
  <si>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</si>
  <si>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</si>
  <si>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</si>
  <si>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</si>
  <si>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</si>
  <si>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</si>
  <si>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</si>
  <si>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</si>
  <si>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</si>
  <si>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</si>
  <si>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</si>
  <si>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</si>
  <si>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</si>
  <si>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</si>
  <si>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</si>
  <si>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</si>
  <si>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</si>
  <si>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</si>
  <si>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</si>
  <si>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</si>
  <si>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</si>
  <si>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</si>
  <si>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</si>
  <si>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</si>
  <si>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</si>
  <si>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</si>
  <si>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</si>
  <si>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</si>
  <si>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</si>
  <si>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</si>
  <si>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</si>
  <si>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</si>
  <si>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</si>
  <si>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</si>
  <si>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</si>
  <si>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</si>
  <si>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</si>
  <si>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</si>
  <si>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</si>
  <si>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</si>
  <si>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</si>
  <si>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</si>
  <si>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</si>
  <si>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</si>
  <si>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</si>
  <si>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</si>
  <si>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</si>
  <si>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</si>
  <si>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</si>
  <si>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</si>
  <si>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</si>
  <si>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</si>
  <si>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</si>
  <si>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</si>
  <si>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</si>
  <si>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</si>
  <si>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</si>
  <si>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</si>
  <si>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</si>
  <si>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</si>
  <si>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</si>
  <si>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</si>
  <si>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</si>
  <si>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</si>
  <si>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</si>
  <si>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</si>
  <si>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</si>
  <si>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</si>
  <si>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</si>
  <si>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</si>
  <si>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</si>
  <si>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</si>
  <si>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</si>
  <si>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</si>
  <si>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</si>
  <si>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</si>
  <si>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</si>
  <si>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</si>
  <si>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</si>
  <si>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</si>
  <si>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</si>
  <si>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</si>
  <si>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</si>
  <si>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</si>
  <si>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</si>
  <si>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</si>
  <si>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</si>
  <si>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</si>
  <si>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</si>
  <si>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</si>
  <si>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</si>
  <si>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</si>
  <si>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</si>
  <si>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</si>
  <si>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</si>
  <si>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</si>
  <si>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</si>
  <si>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</si>
  <si>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</si>
  <si>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</si>
  <si>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</si>
  <si>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</si>
  <si>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</si>
  <si>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</si>
  <si>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</si>
  <si>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</si>
  <si>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</si>
  <si>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</si>
  <si>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</si>
  <si>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</si>
  <si>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</si>
  <si>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</si>
  <si>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</si>
  <si>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</si>
  <si>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</si>
  <si>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</si>
  <si>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</si>
  <si>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</si>
  <si>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</si>
  <si>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</si>
  <si>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</si>
  <si>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</si>
  <si>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</si>
  <si>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</si>
  <si>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</si>
  <si>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</si>
  <si>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</si>
  <si>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</si>
  <si>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</si>
  <si>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</si>
  <si>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</si>
  <si>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</si>
  <si>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</si>
  <si>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</si>
  <si>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</si>
  <si>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</si>
  <si>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</si>
  <si>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</si>
  <si>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</si>
  <si>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</si>
  <si>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</si>
  <si>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</si>
  <si>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</si>
  <si>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</si>
  <si>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</si>
  <si>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</si>
  <si>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</si>
  <si>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</si>
  <si>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</si>
  <si>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</si>
  <si>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</si>
  <si>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</si>
  <si>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</si>
  <si>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</si>
  <si>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</si>
  <si>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</si>
  <si>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</si>
  <si>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</si>
  <si>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</si>
  <si>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</si>
  <si>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</si>
  <si>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</si>
  <si>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</si>
  <si>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</si>
  <si>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</si>
  <si>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</si>
  <si>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</si>
  <si>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</si>
  <si>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</si>
  <si>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</si>
  <si>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</si>
  <si>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</si>
  <si>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</si>
  <si>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</si>
  <si>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</si>
  <si>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</si>
  <si>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</si>
  <si>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</si>
  <si>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</si>
  <si>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</si>
  <si>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</si>
  <si>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</si>
  <si>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</si>
  <si>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</si>
  <si>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</si>
  <si>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</si>
  <si>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</si>
  <si>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</si>
  <si>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</si>
  <si>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</si>
  <si>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</si>
  <si>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</si>
  <si>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</si>
  <si>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</si>
  <si>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</si>
  <si>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</si>
  <si>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</si>
  <si>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</si>
  <si>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</si>
  <si>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</si>
  <si>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</si>
  <si>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</si>
  <si>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</si>
  <si>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</si>
  <si>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</si>
  <si>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</si>
  <si>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</si>
  <si>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</si>
  <si>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</si>
  <si>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</si>
  <si>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</si>
  <si>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</si>
  <si>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</si>
  <si>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</si>
  <si>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</si>
  <si>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</si>
  <si>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</si>
  <si>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</si>
  <si>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</si>
  <si>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</si>
  <si>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</si>
  <si>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</si>
  <si>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</si>
  <si>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</si>
  <si>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</si>
  <si>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</si>
  <si>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</si>
  <si>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</si>
  <si>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</si>
  <si>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</si>
  <si>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</si>
  <si>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</si>
  <si>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</si>
  <si>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</si>
  <si>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</si>
  <si>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</si>
  <si>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</si>
  <si>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</si>
  <si>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</si>
  <si>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</si>
  <si>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</si>
  <si>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</si>
  <si>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</si>
  <si>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</si>
  <si>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</si>
  <si>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</si>
  <si>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</si>
  <si>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</si>
  <si>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</si>
  <si>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</si>
  <si>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</si>
  <si>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</si>
  <si>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</si>
  <si>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</si>
  <si>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</si>
  <si>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</si>
  <si>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</si>
  <si>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</si>
  <si>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</si>
  <si>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</si>
  <si>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</si>
  <si>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</si>
  <si>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</si>
  <si>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</si>
  <si>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</si>
  <si>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</si>
  <si>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</si>
  <si>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</si>
  <si>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</si>
  <si>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</si>
  <si>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</si>
  <si>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</si>
  <si>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</si>
  <si>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</si>
  <si>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</si>
  <si>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</si>
  <si>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</si>
  <si>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</si>
  <si>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</si>
  <si>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</si>
  <si>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</si>
  <si>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</si>
  <si>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</si>
  <si>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</si>
  <si>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</si>
  <si>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</si>
  <si>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</si>
  <si>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</si>
  <si>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</si>
  <si>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</si>
  <si>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</si>
  <si>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</si>
  <si>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</si>
  <si>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</si>
  <si>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</si>
  <si>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</si>
  <si>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</si>
  <si>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</si>
  <si>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</si>
  <si>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</si>
  <si>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</si>
  <si>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</si>
  <si>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</si>
  <si>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</si>
  <si>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</si>
  <si>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</si>
  <si>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</si>
  <si>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</si>
  <si>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</si>
  <si>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</si>
  <si>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</si>
  <si>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</si>
  <si>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</si>
  <si>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</si>
  <si>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</si>
  <si>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</si>
  <si>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</si>
  <si>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</si>
  <si>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</si>
  <si>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</si>
  <si>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</si>
  <si>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</si>
  <si>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</si>
  <si>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</si>
  <si>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</si>
  <si>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</si>
  <si>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</si>
  <si>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</si>
  <si>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</si>
  <si>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</si>
  <si>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</si>
  <si>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</si>
  <si>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</si>
  <si>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</si>
  <si>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</si>
  <si>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</si>
  <si>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</si>
  <si>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</si>
  <si>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</si>
  <si>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</si>
  <si>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</si>
  <si>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</si>
  <si>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</si>
  <si>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</si>
  <si>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</si>
  <si>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</si>
  <si>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</si>
  <si>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</si>
  <si>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</si>
  <si>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</si>
  <si>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</si>
  <si>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</si>
  <si>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</si>
  <si>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</si>
  <si>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</si>
  <si>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</si>
  <si>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</si>
  <si>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</si>
  <si>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</si>
  <si>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</si>
  <si>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</si>
  <si>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</si>
  <si>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</si>
  <si>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</si>
  <si>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</si>
  <si>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</si>
  <si>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</si>
  <si>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</si>
  <si>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</si>
  <si>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</si>
  <si>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</si>
  <si>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</si>
  <si>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</si>
  <si>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</si>
  <si>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</si>
  <si>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</si>
  <si>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</si>
  <si>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</si>
  <si>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</si>
  <si>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</si>
  <si>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</si>
  <si>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</si>
  <si>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</si>
  <si>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</si>
  <si>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</si>
  <si>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</si>
  <si>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</si>
  <si>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</si>
  <si>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</si>
  <si>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</si>
  <si>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</si>
  <si>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</si>
  <si>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</si>
  <si>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</si>
  <si>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</si>
  <si>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</si>
  <si>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</si>
  <si>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</si>
  <si>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</si>
  <si>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</si>
  <si>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</si>
  <si>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</si>
  <si>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</si>
  <si>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</si>
  <si>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</si>
  <si>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</si>
  <si>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</si>
  <si>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</si>
  <si>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</si>
  <si>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</si>
  <si>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</si>
  <si>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</si>
  <si>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</si>
  <si>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</si>
  <si>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</si>
  <si>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</si>
  <si>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</si>
  <si>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</si>
  <si>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</si>
  <si>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</si>
  <si>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</si>
  <si>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</si>
  <si>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</si>
  <si>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</si>
  <si>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</si>
  <si>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</si>
  <si>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</si>
  <si>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</si>
  <si>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</si>
  <si>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</si>
  <si>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</si>
  <si>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</si>
  <si>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</si>
  <si>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</si>
  <si>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</si>
  <si>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</si>
  <si>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</si>
  <si>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</si>
  <si>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</si>
  <si>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</si>
  <si>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</si>
  <si>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</si>
  <si>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</si>
  <si>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</si>
  <si>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</si>
  <si>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</si>
  <si>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</si>
  <si>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</si>
  <si>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</si>
  <si>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</si>
  <si>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</si>
  <si>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</si>
  <si>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</si>
  <si>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</si>
  <si>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</si>
  <si>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</si>
  <si>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</si>
  <si>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</si>
  <si>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</si>
  <si>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</si>
  <si>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</si>
  <si>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</si>
  <si>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</si>
  <si>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</si>
  <si>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</si>
  <si>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</si>
  <si>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</si>
  <si>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</si>
  <si>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</si>
  <si>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</si>
  <si>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</si>
  <si>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</si>
  <si>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</si>
  <si>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</si>
  <si>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</si>
  <si>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</si>
  <si>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</si>
  <si>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</si>
  <si>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</si>
  <si>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</si>
  <si>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</si>
  <si>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</si>
  <si>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</si>
  <si>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</si>
  <si>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</si>
  <si>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</si>
  <si>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</si>
  <si>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</si>
  <si>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</si>
  <si>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</si>
  <si>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</si>
  <si>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</si>
  <si>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</si>
  <si>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</si>
  <si>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</si>
  <si>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</si>
  <si>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</si>
  <si>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</si>
  <si>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</si>
  <si>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</si>
  <si>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</si>
  <si>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</si>
  <si>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</si>
  <si>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</si>
  <si>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</si>
  <si>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</si>
  <si>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</si>
  <si>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</si>
  <si>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</si>
  <si>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</si>
  <si>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</si>
  <si>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</si>
  <si>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</si>
  <si>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</si>
  <si>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</si>
  <si>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</si>
  <si>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</si>
  <si>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</si>
  <si>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</si>
  <si>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</si>
  <si>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</si>
  <si>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</si>
  <si>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</si>
  <si>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</si>
  <si>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</si>
  <si>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</si>
  <si>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</si>
  <si>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</si>
  <si>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</si>
  <si>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</si>
  <si>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</si>
  <si>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</si>
  <si>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</si>
  <si>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</si>
  <si>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</si>
  <si>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</si>
  <si>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</si>
  <si>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</si>
  <si>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</si>
  <si>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</si>
  <si>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</si>
  <si>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</si>
  <si>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</si>
  <si>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</si>
  <si>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</si>
  <si>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</si>
  <si>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</si>
  <si>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</si>
  <si>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</si>
  <si>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</si>
  <si>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</si>
  <si>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</si>
  <si>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</si>
  <si>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</si>
  <si>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</si>
  <si>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</si>
  <si>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</si>
  <si>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</si>
  <si>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</si>
  <si>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</si>
  <si>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</si>
  <si>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</si>
  <si>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</si>
  <si>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</si>
  <si>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</si>
  <si>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</si>
  <si>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</si>
  <si>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</si>
  <si>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</si>
  <si>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</si>
  <si>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</si>
  <si>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</si>
  <si>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</si>
  <si>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</si>
  <si>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</si>
  <si>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</si>
  <si>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</si>
  <si>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</si>
  <si>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</si>
  <si>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</si>
  <si>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</si>
  <si>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</si>
  <si>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</si>
  <si>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</si>
  <si>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</si>
  <si>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</si>
  <si>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</si>
  <si>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</si>
  <si>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</si>
  <si>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</si>
  <si>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</si>
  <si>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</si>
  <si>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</si>
  <si>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</si>
  <si>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</si>
  <si>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</si>
  <si>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</si>
  <si>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</si>
  <si>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</si>
  <si>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</si>
  <si>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</si>
  <si>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</si>
  <si>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</si>
  <si>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</si>
  <si>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</si>
  <si>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</si>
  <si>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</si>
  <si>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</si>
  <si>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</si>
  <si>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</si>
  <si>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</si>
  <si>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</si>
  <si>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</si>
  <si>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</si>
  <si>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</si>
  <si>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</si>
  <si>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</si>
  <si>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</si>
  <si>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</si>
  <si>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</si>
  <si>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</si>
  <si>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</si>
  <si>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</si>
  <si>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</si>
  <si>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</si>
  <si>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</si>
  <si>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</si>
  <si>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</si>
  <si>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</si>
  <si>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</si>
  <si>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</si>
  <si>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</si>
  <si>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</si>
  <si>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</si>
  <si>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</si>
  <si>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</si>
  <si>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</si>
  <si>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</si>
  <si>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</si>
  <si>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</si>
  <si>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</si>
  <si>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</si>
  <si>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</si>
  <si>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</si>
  <si>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</si>
  <si>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</si>
  <si>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</si>
  <si>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</si>
  <si>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</si>
  <si>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</si>
  <si>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</si>
  <si>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</si>
  <si>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</si>
  <si>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</si>
  <si>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</si>
  <si>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</si>
  <si>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</si>
  <si>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</si>
  <si>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</si>
  <si>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</si>
  <si>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</si>
  <si>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</si>
  <si>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</si>
  <si>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</si>
  <si>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</si>
  <si>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</si>
  <si>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</si>
  <si>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</si>
  <si>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</si>
  <si>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</si>
  <si>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</si>
  <si>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</si>
  <si>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</si>
  <si>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</si>
  <si>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</si>
  <si>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</si>
  <si>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</si>
  <si>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</si>
  <si>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</si>
  <si>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</si>
  <si>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</si>
  <si>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</si>
  <si>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</si>
  <si>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</si>
  <si>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</si>
  <si>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</si>
  <si>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</si>
  <si>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</si>
  <si>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</si>
  <si>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</si>
  <si>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</si>
  <si>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</si>
  <si>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</si>
  <si>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</si>
  <si>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</si>
  <si>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</si>
  <si>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</si>
  <si>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</si>
  <si>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</si>
  <si>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</si>
  <si>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</si>
  <si>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</si>
  <si>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</si>
  <si>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</si>
  <si>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</si>
  <si>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</si>
  <si>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</si>
  <si>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</si>
  <si>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</si>
  <si>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</si>
  <si>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</si>
  <si>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</si>
  <si>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</si>
  <si>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</si>
  <si>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</si>
  <si>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</si>
  <si>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</si>
  <si>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</si>
  <si>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</si>
  <si>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</si>
  <si>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</si>
  <si>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</si>
  <si>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</si>
  <si>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</si>
  <si>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</si>
  <si>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</si>
  <si>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</si>
  <si>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</si>
  <si>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</si>
  <si>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</si>
  <si>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</si>
  <si>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</si>
  <si>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</si>
  <si>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</si>
  <si>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</si>
  <si>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</si>
  <si>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</si>
  <si>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</si>
  <si>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</si>
  <si>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</si>
  <si>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</si>
  <si>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</si>
  <si>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</si>
  <si>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</si>
  <si>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</si>
  <si>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</si>
  <si>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</si>
  <si>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</si>
  <si>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</si>
  <si>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</si>
  <si>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</si>
  <si>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</si>
  <si>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</si>
  <si>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</si>
  <si>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</si>
  <si>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</si>
  <si>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</si>
  <si>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</si>
  <si>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</si>
  <si>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</si>
  <si>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</si>
  <si>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</si>
  <si>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</si>
  <si>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</si>
  <si>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</si>
  <si>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</si>
  <si>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</si>
  <si>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</si>
  <si>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</si>
  <si>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</si>
  <si>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</si>
  <si>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</si>
  <si>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</si>
  <si>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</si>
  <si>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</si>
  <si>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</si>
  <si>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</si>
  <si>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</si>
  <si>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</si>
  <si>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</si>
  <si>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</si>
  <si>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</si>
  <si>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</si>
  <si>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</si>
  <si>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</si>
  <si>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</si>
  <si>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</si>
  <si>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</si>
  <si>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</si>
  <si>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</si>
  <si>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</si>
  <si>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</si>
  <si>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</si>
  <si>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</si>
  <si>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</si>
  <si>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</si>
  <si>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</si>
  <si>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</si>
  <si>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</si>
  <si>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</si>
  <si>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</si>
  <si>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</si>
  <si>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</si>
  <si>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</si>
  <si>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</si>
  <si>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</si>
  <si>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</si>
  <si>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</si>
  <si>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</si>
  <si>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</si>
  <si>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</si>
  <si>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</si>
  <si>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</si>
  <si>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</si>
  <si>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</si>
  <si>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</si>
  <si>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</si>
  <si>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</si>
  <si>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</si>
  <si>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</si>
  <si>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</si>
  <si>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</si>
  <si>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</si>
  <si>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</si>
  <si>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</si>
  <si>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</si>
  <si>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</si>
  <si>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</si>
  <si>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</si>
  <si>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</si>
  <si>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</si>
  <si>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</si>
  <si>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</si>
  <si>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</si>
  <si>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</si>
  <si>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</si>
  <si>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</si>
  <si>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</si>
  <si>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</si>
  <si>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</si>
  <si>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</si>
  <si>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</si>
  <si>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</si>
  <si>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</si>
  <si>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</si>
  <si>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</si>
  <si>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</si>
  <si>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</si>
  <si>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</si>
  <si>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</si>
  <si>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</si>
  <si>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</si>
  <si>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</si>
  <si>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</si>
  <si>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</si>
  <si>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</si>
  <si>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</si>
  <si>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</si>
  <si>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</si>
  <si>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</si>
  <si>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</si>
  <si>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</si>
  <si>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</si>
  <si>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</si>
  <si>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</si>
  <si>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</si>
  <si>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</si>
  <si>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</si>
  <si>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</si>
  <si>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</si>
  <si>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</si>
  <si>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</si>
  <si>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</si>
  <si>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</si>
  <si>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</si>
  <si>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</si>
  <si>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</si>
  <si>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</si>
  <si>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</si>
  <si>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</si>
  <si>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</si>
  <si>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</si>
  <si>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</si>
  <si>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</si>
  <si>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</si>
  <si>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</si>
  <si>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</si>
  <si>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</si>
  <si>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</si>
  <si>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</si>
  <si>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</si>
  <si>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</si>
  <si>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</si>
  <si>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</si>
  <si>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</si>
  <si>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</si>
  <si>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</si>
  <si>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</si>
  <si>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</si>
  <si>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</si>
  <si>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</si>
  <si>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</si>
  <si>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</si>
  <si>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</si>
  <si>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</si>
  <si>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</si>
  <si>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</si>
  <si>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</si>
  <si>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</si>
  <si>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</si>
  <si>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</si>
  <si>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</si>
  <si>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</si>
  <si>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</si>
  <si>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</si>
  <si>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</si>
  <si>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</si>
  <si>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</si>
  <si>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</si>
  <si>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</si>
  <si>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</si>
  <si>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</si>
  <si>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</si>
  <si>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</si>
  <si>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</si>
  <si>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</si>
  <si>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</si>
  <si>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</si>
  <si>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</si>
  <si>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</si>
  <si>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</si>
  <si>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</si>
  <si>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</si>
  <si>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</si>
  <si>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</si>
  <si>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</si>
  <si>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</si>
  <si>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</si>
  <si>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</si>
  <si>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</si>
  <si>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</si>
  <si>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</si>
  <si>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</si>
  <si>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</si>
  <si>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</si>
  <si>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</si>
  <si>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</si>
  <si>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</si>
  <si>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</si>
  <si>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</si>
  <si>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</si>
  <si>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</si>
  <si>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</si>
  <si>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</si>
  <si>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</si>
  <si>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</si>
  <si>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</si>
  <si>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</si>
  <si>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</si>
  <si>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</si>
  <si>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</si>
  <si>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</si>
  <si>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</si>
  <si>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</si>
  <si>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</si>
  <si>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</si>
  <si>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</si>
  <si>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</si>
  <si>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</si>
  <si>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</si>
  <si>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</si>
  <si>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</si>
  <si>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</si>
  <si>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</si>
  <si>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</si>
  <si>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</si>
  <si>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</si>
  <si>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</si>
  <si>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</si>
  <si>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</si>
  <si>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</si>
  <si>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</si>
  <si>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</si>
  <si>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</si>
  <si>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</si>
  <si>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</si>
  <si>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</si>
  <si>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</si>
  <si>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</si>
  <si>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</si>
  <si>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</si>
  <si>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</si>
  <si>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</si>
  <si>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</si>
  <si>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</si>
  <si>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</si>
  <si>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</si>
  <si>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</si>
  <si>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</si>
  <si>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</si>
  <si>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</si>
  <si>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</si>
  <si>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</si>
  <si>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</si>
  <si>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</si>
  <si>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</si>
  <si>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</si>
  <si>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</si>
  <si>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</si>
  <si>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</si>
  <si>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</si>
  <si>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</si>
  <si>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</si>
  <si>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</si>
  <si>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</si>
  <si>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</si>
  <si>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</si>
  <si>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</si>
  <si>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</si>
  <si>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</si>
  <si>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</si>
  <si>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</si>
  <si>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</si>
  <si>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</si>
  <si>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</si>
  <si>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</si>
  <si>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</si>
  <si>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</si>
  <si>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</si>
  <si>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</si>
  <si>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</si>
  <si>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</si>
  <si>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</si>
  <si>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</si>
  <si>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</si>
  <si>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</si>
  <si>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</si>
  <si>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</si>
  <si>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</si>
  <si>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</si>
  <si>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</si>
  <si>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</si>
  <si>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</si>
  <si>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</si>
  <si>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</si>
  <si>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</si>
  <si>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</si>
  <si>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</si>
  <si>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</si>
  <si>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</si>
  <si>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</si>
  <si>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</si>
  <si>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</si>
  <si>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</si>
  <si>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</si>
  <si>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</si>
  <si>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</si>
  <si>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</si>
  <si>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</si>
  <si>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</si>
  <si>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</si>
  <si>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</si>
  <si>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</si>
  <si>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</si>
  <si>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</si>
  <si>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</si>
  <si>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</si>
  <si>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</si>
  <si>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</si>
  <si>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</si>
  <si>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</si>
  <si>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</si>
  <si>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</si>
  <si>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</si>
  <si>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</si>
  <si>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</si>
  <si>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</si>
  <si>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</si>
  <si>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</si>
  <si>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</si>
  <si>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</si>
  <si>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</si>
  <si>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</si>
  <si>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</si>
  <si>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</si>
  <si>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</si>
  <si>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</si>
  <si>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</si>
  <si>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</si>
  <si>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</si>
  <si>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</si>
  <si>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</si>
  <si>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</si>
  <si>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</si>
  <si>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</si>
  <si>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</si>
  <si>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</si>
  <si>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</si>
  <si>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</si>
  <si>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</si>
  <si>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</si>
  <si>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</si>
  <si>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</si>
  <si>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</si>
  <si>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</si>
  <si>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</si>
  <si>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</si>
  <si>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</si>
  <si>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</si>
  <si>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</si>
  <si>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</si>
  <si>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</si>
  <si>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</si>
  <si>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</si>
  <si>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</si>
  <si>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</si>
  <si>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</si>
  <si>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</si>
  <si>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</si>
  <si>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</si>
  <si>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</si>
  <si>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</si>
  <si>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</si>
  <si>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</si>
  <si>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</si>
  <si>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</si>
  <si>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</si>
  <si>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</si>
  <si>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</si>
  <si>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</si>
  <si>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</si>
  <si>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</si>
  <si>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</si>
  <si>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</si>
  <si>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</si>
  <si>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</si>
  <si>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</si>
  <si>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</si>
  <si>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</si>
  <si>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</si>
  <si>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</si>
  <si>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</si>
  <si>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</si>
  <si>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</si>
  <si>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</si>
  <si>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</si>
  <si>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</si>
  <si>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</si>
  <si>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</si>
  <si>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</si>
  <si>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</si>
  <si>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</si>
  <si>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</si>
  <si>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</si>
  <si>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</si>
  <si>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</si>
  <si>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</si>
  <si>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</si>
  <si>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</si>
  <si>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</si>
  <si>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</si>
  <si>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</si>
  <si>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</si>
  <si>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</si>
  <si>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</si>
  <si>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</si>
  <si>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</si>
  <si>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</si>
  <si>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</si>
  <si>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</si>
  <si>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</si>
  <si>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</si>
  <si>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</si>
  <si>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</si>
  <si>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</si>
  <si>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</si>
  <si>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</si>
  <si>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</si>
  <si>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</si>
  <si>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</si>
  <si>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</si>
  <si>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</si>
  <si>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</si>
  <si>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</si>
  <si>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</si>
  <si>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</si>
  <si>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</si>
  <si>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</si>
  <si>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</si>
  <si>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</si>
  <si>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</si>
  <si>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</si>
  <si>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</si>
  <si>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</si>
  <si>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</si>
  <si>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</si>
  <si>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</si>
  <si>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</si>
  <si>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</si>
  <si>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</si>
  <si>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</si>
  <si>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</si>
  <si>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</si>
  <si>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</si>
  <si>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</si>
  <si>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</si>
  <si>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</si>
  <si>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</si>
  <si>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</si>
  <si>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</si>
  <si>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</si>
  <si>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</si>
  <si>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</si>
  <si>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</si>
  <si>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</si>
  <si>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</si>
  <si>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</si>
  <si>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</si>
  <si>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</si>
  <si>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</si>
  <si>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</si>
  <si>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</si>
  <si>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</si>
  <si>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</si>
  <si>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</si>
  <si>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</si>
  <si>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</si>
  <si>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</si>
  <si>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</si>
  <si>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</si>
  <si>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</si>
  <si>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</si>
  <si>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</si>
  <si>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</si>
  <si>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</si>
  <si>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</si>
  <si>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</si>
  <si>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</si>
  <si>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</si>
  <si>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</si>
  <si>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</si>
  <si>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</si>
  <si>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</si>
  <si>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</si>
  <si>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</si>
  <si>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</si>
  <si>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</si>
  <si>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</si>
  <si>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</si>
  <si>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</si>
  <si>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</si>
  <si>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</si>
  <si>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</si>
  <si>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</si>
  <si>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</si>
  <si>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</si>
  <si>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</si>
  <si>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</si>
  <si>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</si>
  <si>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</si>
  <si>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</si>
  <si>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</si>
  <si>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</si>
  <si>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</si>
  <si>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</si>
  <si>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</si>
  <si>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</si>
  <si>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</si>
  <si>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</si>
  <si>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</si>
  <si>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</si>
  <si>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</si>
  <si>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</si>
  <si>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</si>
  <si>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</si>
  <si>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</si>
  <si>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</si>
  <si>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</si>
  <si>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</si>
  <si>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</si>
  <si>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</si>
  <si>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</si>
  <si>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</si>
  <si>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</si>
  <si>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</si>
  <si>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</si>
  <si>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</si>
  <si>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</si>
  <si>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</si>
  <si>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</si>
  <si>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</si>
  <si>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</si>
  <si>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</si>
  <si>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</si>
  <si>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</si>
  <si>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</si>
  <si>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</si>
  <si>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</si>
  <si>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</si>
  <si>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</si>
  <si>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</si>
  <si>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</si>
  <si>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</si>
  <si>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</si>
  <si>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</si>
  <si>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</si>
  <si>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</si>
  <si>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</si>
  <si>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</si>
  <si>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</si>
  <si>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</si>
  <si>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</si>
  <si>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</si>
  <si>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</si>
  <si>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</si>
  <si>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</si>
  <si>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</si>
  <si>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</si>
  <si>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</si>
  <si>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</si>
  <si>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</si>
  <si>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</si>
  <si>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</si>
  <si>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</si>
  <si>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</si>
  <si>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</si>
  <si>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</si>
  <si>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</si>
  <si>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</si>
  <si>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</si>
  <si>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</si>
  <si>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</si>
  <si>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</si>
  <si>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</si>
  <si>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</si>
  <si>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</si>
  <si>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</si>
  <si>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</si>
  <si>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</si>
  <si>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</si>
  <si>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</si>
  <si>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</si>
  <si>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</si>
  <si>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</si>
  <si>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</si>
  <si>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</si>
  <si>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</si>
  <si>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</si>
  <si>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</si>
  <si>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</si>
  <si>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</si>
  <si>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</si>
  <si>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</si>
  <si>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</si>
  <si>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</si>
  <si>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</si>
  <si>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</si>
  <si>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</si>
  <si>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</si>
  <si>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</si>
  <si>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</si>
  <si>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</si>
  <si>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</si>
  <si>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</si>
  <si>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</si>
  <si>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</si>
  <si>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</si>
  <si>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</si>
  <si>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</si>
  <si>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</si>
  <si>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</si>
  <si>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</si>
  <si>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</si>
  <si>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</si>
  <si>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</si>
  <si>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</si>
  <si>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</si>
  <si>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</si>
  <si>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</si>
  <si>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</si>
  <si>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</si>
  <si>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</si>
  <si>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</si>
  <si>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</si>
  <si>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</si>
  <si>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</si>
  <si>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</si>
  <si>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</si>
  <si>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</si>
  <si>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</si>
  <si>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</si>
  <si>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</si>
  <si>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</si>
  <si>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</si>
  <si>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</si>
  <si>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</si>
  <si>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</si>
  <si>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</si>
  <si>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</si>
  <si>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</si>
  <si>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</si>
  <si>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</si>
  <si>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</si>
  <si>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</si>
  <si>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</si>
  <si>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</si>
  <si>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</si>
  <si>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</si>
  <si>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</si>
  <si>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</si>
  <si>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</si>
  <si>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</si>
  <si>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</si>
  <si>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</si>
  <si>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</si>
  <si>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</si>
  <si>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</si>
  <si>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</si>
  <si>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</si>
  <si>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</si>
  <si>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</si>
  <si>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</si>
  <si>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</si>
  <si>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</si>
  <si>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</si>
  <si>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</si>
  <si>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</si>
  <si>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</si>
  <si>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</si>
  <si>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</si>
  <si>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</si>
  <si>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</si>
  <si>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</si>
  <si>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</si>
  <si>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</si>
  <si>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</si>
  <si>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</si>
  <si>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</si>
  <si>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</si>
  <si>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</si>
  <si>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</si>
  <si>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</si>
  <si>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</si>
  <si>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</si>
  <si>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</si>
  <si>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</si>
  <si>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</si>
  <si>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</si>
  <si>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</si>
  <si>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</si>
  <si>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</si>
  <si>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</si>
  <si>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</si>
  <si>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</si>
  <si>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</si>
  <si>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</si>
  <si>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</si>
  <si>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</si>
  <si>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</si>
  <si>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</si>
  <si>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</si>
  <si>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</si>
  <si>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</si>
  <si>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</si>
  <si>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</si>
  <si>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</si>
  <si>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</si>
  <si>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</si>
  <si>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</si>
  <si>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</si>
  <si>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</si>
  <si>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</si>
  <si>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</si>
  <si>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</si>
  <si>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</si>
  <si>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</si>
  <si>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</si>
  <si>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</si>
  <si>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</si>
  <si>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</si>
  <si>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</si>
  <si>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</si>
  <si>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</si>
  <si>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</si>
  <si>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</si>
  <si>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</si>
  <si>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</si>
  <si>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</si>
  <si>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</si>
  <si>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</si>
  <si>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</si>
  <si>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</si>
  <si>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</si>
  <si>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</si>
  <si>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</si>
  <si>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</si>
  <si>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</si>
  <si>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</si>
  <si>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</si>
  <si>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</si>
  <si>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</si>
  <si>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</si>
  <si>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</si>
  <si>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</si>
  <si>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</si>
  <si>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</si>
  <si>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</si>
  <si>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</si>
  <si>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</si>
  <si>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</si>
  <si>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</si>
  <si>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</si>
  <si>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</si>
  <si>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</si>
  <si>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</si>
  <si>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</si>
  <si>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</si>
  <si>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</si>
  <si>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</si>
  <si>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</si>
  <si>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</si>
  <si>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</si>
  <si>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</si>
  <si>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</si>
  <si>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</si>
  <si>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</si>
  <si>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</si>
  <si>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</si>
  <si>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</si>
  <si>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</si>
  <si>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</si>
  <si>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</si>
  <si>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</si>
  <si>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</si>
  <si>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</si>
  <si>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</si>
  <si>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</si>
  <si>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</si>
  <si>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</si>
  <si>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</si>
  <si>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</si>
  <si>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</si>
  <si>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</si>
  <si>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</si>
  <si>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</si>
  <si>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</si>
  <si>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</si>
  <si>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</si>
  <si>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</si>
  <si>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</si>
  <si>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</si>
  <si>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</si>
  <si>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</si>
  <si>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</si>
  <si>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</si>
  <si>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</si>
  <si>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</si>
  <si>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</si>
  <si>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</si>
  <si>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</si>
  <si>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</si>
  <si>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</si>
  <si>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</si>
  <si>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</si>
  <si>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</si>
  <si>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</si>
  <si>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</si>
  <si>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</si>
  <si>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</si>
  <si>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</si>
  <si>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</si>
  <si>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</si>
  <si>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</si>
  <si>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</si>
  <si>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</si>
  <si>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</si>
  <si>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</si>
  <si>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</si>
  <si>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</si>
  <si>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</si>
  <si>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</si>
  <si>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</si>
  <si>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</si>
  <si>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</si>
  <si>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</si>
  <si>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</si>
  <si>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</si>
  <si>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</si>
  <si>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</si>
  <si>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</si>
  <si>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</si>
  <si>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</si>
  <si>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</si>
  <si>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</si>
  <si>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</si>
  <si>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</si>
  <si>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</si>
  <si>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</si>
  <si>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</si>
  <si>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</si>
  <si>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</si>
  <si>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</si>
  <si>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</si>
  <si>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</si>
  <si>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</si>
  <si>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</si>
  <si>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</si>
  <si>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</si>
  <si>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</si>
  <si>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</si>
  <si>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</si>
  <si>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</si>
  <si>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</si>
  <si>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</si>
  <si>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</si>
  <si>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</si>
  <si>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</si>
  <si>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</si>
  <si>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</si>
  <si>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</si>
  <si>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</si>
  <si>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</si>
  <si>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</si>
  <si>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</si>
  <si>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</si>
  <si>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</si>
  <si>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</si>
  <si>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</si>
  <si>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</si>
  <si>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</si>
  <si>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</si>
  <si>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</si>
  <si>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</si>
  <si>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</si>
  <si>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</si>
  <si>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</si>
  <si>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</si>
  <si>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</si>
  <si>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</si>
  <si>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</si>
  <si>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</si>
  <si>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</si>
  <si>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</si>
  <si>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</si>
  <si>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</si>
  <si>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</si>
  <si>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</si>
  <si>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</si>
  <si>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</si>
  <si>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</si>
  <si>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</si>
  <si>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</si>
  <si>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</si>
  <si>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</si>
  <si>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</si>
  <si>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</si>
  <si>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</si>
  <si>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</si>
  <si>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</si>
  <si>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</si>
  <si>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</si>
  <si>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</si>
  <si>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</si>
  <si>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</si>
  <si>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</si>
  <si>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</si>
  <si>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</si>
  <si>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</si>
  <si>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</si>
  <si>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</si>
  <si>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</si>
  <si>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</si>
  <si>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</si>
  <si>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</si>
  <si>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</si>
  <si>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</si>
  <si>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</si>
  <si>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</si>
  <si>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</si>
  <si>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</si>
  <si>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</si>
  <si>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</si>
  <si>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</si>
  <si>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</si>
  <si>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</si>
  <si>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</si>
  <si>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</si>
  <si>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</si>
  <si>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</si>
  <si>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</si>
  <si>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</si>
  <si>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</si>
  <si>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</si>
  <si>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</si>
  <si>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</si>
  <si>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</si>
  <si>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</si>
  <si>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</si>
  <si>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</si>
  <si>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</si>
  <si>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</si>
  <si>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</si>
  <si>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</si>
  <si>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</si>
  <si>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</si>
  <si>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</si>
  <si>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</si>
  <si>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</si>
  <si>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</si>
  <si>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</si>
  <si>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</si>
  <si>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</si>
  <si>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</si>
  <si>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</si>
  <si>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</si>
  <si>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</si>
  <si>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</si>
  <si>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</si>
  <si>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</si>
  <si>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</si>
  <si>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</si>
  <si>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</si>
  <si>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</si>
  <si>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</si>
  <si>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</si>
  <si>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</si>
  <si>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</si>
  <si>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</si>
  <si>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</si>
  <si>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</si>
  <si>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</si>
  <si>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</si>
  <si>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</si>
  <si>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</si>
  <si>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</si>
  <si>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</si>
  <si>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</si>
  <si>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</si>
  <si>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</si>
  <si>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</si>
  <si>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</si>
  <si>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</si>
  <si>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</si>
  <si>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</si>
  <si>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</si>
  <si>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</si>
  <si>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</si>
  <si>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</si>
  <si>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</si>
  <si>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</si>
  <si>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</si>
  <si>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</si>
  <si>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</si>
  <si>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</si>
  <si>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</si>
  <si>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</si>
  <si>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</si>
  <si>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</si>
  <si>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</si>
  <si>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</si>
  <si>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</si>
  <si>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</si>
  <si>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</si>
  <si>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</si>
  <si>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</si>
  <si>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</si>
  <si>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</si>
  <si>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</si>
  <si>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</si>
  <si>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</si>
  <si>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</si>
  <si>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</si>
  <si>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</si>
  <si>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</si>
  <si>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</si>
  <si>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</si>
  <si>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</si>
  <si>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</si>
  <si>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</si>
  <si>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</si>
  <si>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</si>
  <si>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</si>
  <si>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</si>
  <si>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</si>
  <si>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</si>
  <si>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</si>
  <si>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</si>
  <si>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</si>
  <si>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</si>
  <si>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</si>
  <si>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</si>
  <si>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</si>
  <si>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</si>
  <si>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</si>
  <si>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</si>
  <si>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</si>
  <si>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</si>
  <si>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</si>
  <si>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</si>
  <si>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</si>
  <si>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</si>
  <si>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</si>
  <si>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</si>
  <si>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</si>
  <si>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</si>
  <si>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</si>
  <si>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</si>
  <si>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</si>
  <si>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</si>
  <si>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</si>
  <si>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</si>
  <si>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</si>
  <si>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</si>
  <si>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</si>
  <si>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</si>
  <si>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</si>
  <si>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</si>
  <si>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</si>
  <si>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</si>
  <si>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</si>
  <si>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</si>
  <si>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</si>
  <si>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</si>
  <si>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</si>
  <si>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</si>
  <si>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</si>
  <si>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</si>
  <si>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</si>
  <si>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</si>
  <si>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</si>
  <si>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</si>
  <si>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</si>
  <si>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</si>
  <si>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</si>
  <si>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</si>
  <si>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</si>
  <si>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</si>
  <si>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</si>
  <si>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</si>
  <si>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</si>
  <si>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</si>
  <si>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</si>
  <si>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</si>
  <si>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</si>
  <si>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</si>
  <si>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</si>
  <si>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</si>
  <si>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</si>
  <si>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</si>
  <si>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</si>
  <si>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</si>
  <si>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</si>
  <si>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</si>
  <si>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</si>
  <si>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</si>
  <si>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</si>
  <si>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</si>
  <si>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</si>
  <si>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</si>
  <si>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</si>
  <si>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</si>
  <si>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</si>
  <si>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</si>
  <si>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</si>
  <si>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</si>
  <si>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</si>
  <si>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</si>
  <si>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</si>
  <si>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</si>
  <si>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</si>
  <si>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</si>
  <si>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</si>
  <si>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</si>
  <si>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</si>
  <si>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</si>
  <si>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</si>
  <si>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</si>
  <si>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</si>
  <si>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</si>
  <si>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</si>
  <si>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</si>
  <si>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</si>
  <si>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</si>
  <si>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</si>
  <si>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</si>
  <si>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</si>
  <si>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</si>
  <si>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</si>
  <si>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</si>
  <si>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</si>
  <si>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</si>
  <si>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</si>
  <si>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</si>
  <si>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</si>
  <si>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</si>
  <si>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</si>
  <si>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</si>
  <si>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</si>
  <si>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</si>
  <si>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</si>
  <si>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</si>
  <si>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</si>
  <si>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</si>
  <si>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</si>
  <si>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</si>
  <si>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</si>
  <si>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</si>
  <si>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</si>
  <si>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</si>
  <si>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</si>
  <si>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</si>
  <si>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</si>
  <si>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</si>
  <si>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</si>
  <si>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</si>
  <si>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</si>
  <si>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</si>
  <si>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</si>
  <si>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</si>
  <si>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</si>
  <si>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</si>
  <si>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</si>
  <si>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</si>
  <si>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</si>
  <si>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</si>
  <si>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</si>
  <si>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</si>
  <si>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</si>
  <si>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</si>
  <si>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</si>
  <si>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</si>
  <si>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</si>
  <si>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</si>
  <si>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</si>
  <si>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</si>
  <si>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</si>
  <si>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</si>
  <si>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</si>
  <si>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</si>
  <si>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</si>
  <si>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</si>
  <si>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</si>
  <si>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</si>
  <si>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</si>
  <si>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</si>
  <si>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</si>
  <si>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</si>
  <si>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</si>
  <si>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</si>
  <si>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</si>
  <si>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</si>
  <si>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</si>
  <si>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</si>
  <si>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</si>
  <si>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</si>
  <si>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</si>
  <si>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</si>
  <si>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</si>
  <si>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</si>
  <si>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</si>
  <si>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</si>
  <si>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</si>
  <si>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</si>
  <si>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</si>
  <si>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</si>
  <si>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</si>
  <si>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</si>
  <si>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</si>
  <si>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</si>
  <si>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</si>
  <si>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</si>
  <si>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</si>
  <si>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</si>
  <si>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</si>
  <si>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</si>
  <si>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</si>
  <si>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</si>
  <si>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</si>
  <si>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</si>
  <si>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</si>
  <si>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</si>
  <si>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</si>
  <si>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</si>
  <si>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</si>
  <si>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</si>
  <si>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</si>
  <si>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</si>
  <si>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</si>
  <si>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</si>
  <si>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</si>
  <si>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</si>
  <si>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</si>
  <si>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</si>
  <si>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</si>
  <si>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</si>
  <si>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</si>
  <si>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</si>
  <si>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</si>
  <si>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</si>
  <si>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</si>
  <si>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</si>
  <si>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</si>
  <si>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</si>
  <si>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</si>
  <si>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</si>
  <si>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</si>
  <si>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</si>
  <si>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</si>
  <si>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</si>
  <si>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</si>
  <si>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</si>
  <si>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</si>
  <si>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</si>
  <si>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</si>
  <si>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</si>
  <si>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</si>
  <si>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</si>
  <si>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</si>
  <si>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</si>
  <si>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</si>
  <si>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</si>
  <si>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</si>
  <si>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</si>
  <si>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</si>
  <si>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</si>
  <si>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</si>
  <si>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</si>
  <si>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</si>
  <si>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</si>
  <si>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</si>
  <si>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</si>
  <si>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</si>
  <si>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</si>
  <si>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</si>
  <si>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</si>
  <si>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</si>
  <si>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</si>
  <si>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</si>
  <si>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</si>
  <si>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</si>
  <si>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</si>
  <si>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</si>
  <si>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</si>
  <si>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</si>
  <si>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</si>
  <si>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</si>
  <si>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</si>
  <si>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</si>
  <si>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</si>
  <si>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</si>
  <si>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</si>
  <si>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</si>
  <si>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</si>
  <si>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</si>
  <si>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</si>
  <si>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</si>
  <si>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</si>
  <si>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</si>
  <si>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</si>
  <si>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</si>
  <si>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</si>
  <si>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</si>
  <si>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</si>
  <si>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</si>
  <si>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</si>
  <si>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</si>
  <si>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</si>
  <si>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</si>
  <si>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</si>
  <si>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</si>
  <si>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</si>
  <si>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</si>
  <si>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</si>
  <si>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</si>
  <si>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</si>
  <si>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</si>
  <si>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</si>
  <si>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</si>
  <si>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</si>
  <si>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</si>
  <si>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</si>
  <si>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</si>
  <si>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</si>
  <si>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</si>
  <si>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</si>
  <si>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</si>
  <si>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</si>
  <si>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</si>
  <si>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</si>
  <si>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</si>
  <si>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</si>
  <si>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</si>
  <si>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</si>
  <si>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</si>
  <si>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</si>
  <si>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</si>
  <si>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</si>
  <si>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</si>
  <si>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</si>
  <si>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</si>
  <si>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</si>
  <si>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</si>
  <si>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</si>
  <si>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</si>
  <si>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</si>
  <si>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</si>
  <si>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</si>
  <si>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</si>
  <si>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</si>
  <si>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</si>
  <si>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</si>
  <si>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</si>
  <si>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</si>
  <si>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</si>
  <si>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</si>
  <si>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</si>
  <si>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</si>
  <si>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</si>
  <si>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</si>
  <si>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</si>
  <si>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</si>
  <si>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</si>
  <si>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</si>
  <si>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</si>
  <si>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</si>
  <si>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</si>
  <si>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</si>
  <si>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</si>
  <si>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</si>
  <si>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</si>
  <si>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</si>
  <si>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</si>
  <si>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</si>
  <si>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</si>
  <si>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</si>
  <si>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</si>
  <si>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</si>
  <si>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</si>
  <si>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</si>
  <si>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</si>
  <si>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</si>
  <si>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</si>
  <si>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</si>
  <si>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</si>
  <si>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</si>
  <si>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</si>
  <si>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</si>
  <si>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</si>
  <si>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</si>
  <si>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</si>
  <si>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</si>
  <si>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</si>
  <si>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</si>
  <si>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</si>
  <si>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</si>
  <si>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</si>
  <si>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</si>
  <si>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</si>
  <si>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</si>
  <si>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</si>
  <si>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</si>
  <si>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</si>
  <si>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</si>
  <si>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</si>
  <si>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</si>
  <si>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</si>
  <si>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</si>
  <si>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</si>
  <si>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</si>
  <si>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</si>
  <si>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</si>
  <si>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</si>
  <si>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</si>
  <si>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</si>
  <si>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</si>
  <si>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</si>
  <si>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</si>
  <si>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</si>
  <si>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</si>
  <si>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</si>
  <si>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</si>
  <si>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</si>
  <si>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</si>
  <si>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</si>
  <si>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</si>
  <si>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</si>
  <si>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</si>
  <si>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</si>
  <si>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</si>
  <si>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</si>
  <si>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</si>
  <si>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</si>
  <si>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</si>
  <si>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</si>
  <si>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</si>
  <si>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</si>
  <si>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</si>
  <si>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</si>
  <si>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</si>
  <si>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</si>
  <si>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</si>
  <si>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</si>
  <si>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</si>
  <si>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</si>
  <si>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</si>
  <si>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</si>
  <si>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</si>
  <si>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</si>
  <si>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</si>
  <si>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</si>
  <si>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</si>
  <si>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</si>
  <si>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</si>
  <si>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</si>
  <si>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</si>
  <si>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</si>
  <si>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</si>
  <si>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</si>
  <si>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</si>
  <si>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</si>
  <si>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</si>
  <si>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</si>
  <si>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</si>
  <si>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</si>
  <si>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</si>
  <si>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</si>
  <si>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</si>
  <si>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</si>
  <si>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</si>
  <si>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</si>
  <si>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</si>
  <si>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</si>
  <si>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</si>
  <si>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</si>
  <si>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</si>
  <si>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</si>
  <si>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</si>
  <si>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</si>
  <si>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</si>
  <si>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</si>
  <si>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</si>
  <si>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</si>
  <si>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</si>
  <si>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</si>
  <si>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</si>
  <si>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</si>
  <si>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</si>
  <si>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</si>
  <si>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</si>
  <si>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</si>
  <si>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</si>
  <si>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</si>
  <si>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</si>
  <si>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</si>
  <si>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</si>
  <si>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</si>
  <si>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</si>
  <si>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</si>
  <si>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</si>
  <si>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</si>
  <si>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</si>
  <si>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</si>
  <si>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</si>
  <si>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</si>
  <si>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</si>
  <si>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</si>
  <si>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</si>
  <si>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</si>
  <si>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</si>
  <si>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</si>
  <si>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</si>
  <si>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</si>
  <si>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</si>
  <si>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</si>
  <si>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</si>
  <si>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</si>
  <si>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</si>
  <si>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</si>
  <si>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</si>
  <si>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</si>
  <si>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</si>
  <si>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</si>
  <si>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</si>
  <si>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</si>
  <si>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</si>
  <si>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</si>
  <si>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</si>
  <si>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</si>
  <si>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</si>
  <si>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</si>
  <si>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</si>
  <si>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</si>
  <si>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</si>
  <si>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</si>
  <si>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</si>
  <si>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</si>
  <si>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</si>
  <si>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</si>
  <si>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</si>
  <si>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</si>
  <si>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</si>
  <si>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</si>
  <si>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</si>
  <si>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</si>
  <si>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</si>
  <si>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</si>
  <si>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</si>
  <si>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</si>
  <si>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</si>
  <si>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</si>
  <si>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</si>
  <si>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</si>
  <si>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</si>
  <si>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</si>
  <si>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</si>
  <si>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</si>
  <si>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</si>
  <si>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</si>
  <si>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</si>
  <si>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</si>
  <si>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</si>
  <si>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</si>
  <si>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</si>
  <si>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</si>
  <si>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</si>
  <si>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</si>
  <si>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</si>
  <si>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</si>
  <si>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</si>
  <si>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</si>
  <si>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</si>
  <si>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</si>
  <si>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</si>
  <si>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</si>
  <si>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</si>
  <si>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</si>
  <si>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</si>
  <si>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</si>
  <si>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</si>
  <si>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</si>
  <si>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</si>
  <si>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</si>
  <si>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</si>
  <si>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</si>
  <si>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</si>
  <si>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</si>
  <si>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</si>
  <si>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</si>
  <si>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</si>
  <si>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</si>
  <si>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</si>
  <si>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</si>
  <si>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</si>
  <si>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</si>
  <si>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</si>
  <si>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</si>
  <si>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</si>
  <si>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</si>
  <si>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</si>
  <si>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</si>
  <si>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</si>
  <si>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</si>
  <si>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</si>
  <si>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</si>
  <si>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</si>
  <si>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</si>
  <si>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</si>
  <si>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</si>
  <si>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</si>
  <si>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</si>
  <si>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</si>
  <si>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</si>
  <si>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</si>
  <si>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</si>
  <si>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</si>
  <si>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</si>
  <si>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</si>
  <si>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</si>
  <si>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</si>
  <si>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</si>
  <si>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</si>
  <si>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</si>
  <si>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</si>
  <si>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</si>
  <si>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</si>
  <si>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</si>
  <si>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</si>
  <si>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</si>
  <si>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</si>
  <si>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</si>
  <si>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</si>
  <si>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</si>
  <si>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</si>
  <si>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</si>
  <si>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</si>
  <si>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</si>
  <si>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</si>
  <si>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</si>
  <si>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</si>
  <si>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</si>
  <si>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</si>
  <si>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</si>
  <si>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</si>
  <si>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</si>
  <si>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</si>
  <si>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</si>
  <si>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</si>
  <si>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</si>
  <si>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</si>
  <si>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</si>
  <si>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</si>
  <si>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</si>
  <si>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</si>
  <si>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</si>
  <si>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</si>
  <si>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</si>
  <si>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</si>
  <si>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</si>
  <si>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</si>
  <si>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</si>
  <si>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</si>
  <si>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</si>
  <si>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</si>
  <si>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</si>
  <si>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</si>
  <si>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</si>
  <si>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</si>
  <si>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</si>
  <si>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</si>
  <si>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</si>
  <si>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</si>
  <si>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</si>
  <si>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</si>
  <si>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</si>
  <si>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</si>
  <si>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</si>
  <si>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</si>
  <si>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</si>
  <si>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</si>
  <si>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</si>
  <si>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</si>
  <si>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</si>
  <si>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</si>
  <si>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</si>
  <si>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</si>
  <si>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</si>
  <si>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</si>
  <si>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</si>
  <si>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</si>
  <si>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</si>
  <si>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</si>
  <si>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</si>
  <si>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</si>
  <si>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</si>
  <si>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</si>
  <si>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</si>
  <si>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</si>
  <si>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</si>
  <si>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</si>
  <si>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</si>
  <si>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</si>
  <si>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</si>
  <si>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</si>
  <si>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</si>
  <si>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</si>
  <si>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</si>
  <si>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</si>
  <si>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</si>
  <si>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</si>
  <si>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</si>
  <si>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</si>
  <si>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</si>
  <si>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</si>
  <si>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</si>
  <si>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</si>
  <si>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</si>
  <si>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</si>
  <si>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</si>
  <si>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</si>
  <si>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</si>
  <si>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</si>
  <si>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</si>
  <si>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</si>
  <si>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</si>
  <si>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</si>
  <si>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</si>
  <si>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</si>
  <si>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</si>
  <si>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</si>
  <si>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</si>
  <si>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</si>
  <si>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</si>
  <si>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</si>
  <si>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</si>
  <si>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</si>
  <si>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</si>
  <si>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</si>
  <si>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</si>
  <si>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</si>
  <si>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</si>
  <si>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</si>
  <si>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</si>
  <si>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</si>
  <si>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</si>
  <si>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</si>
  <si>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</si>
  <si>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</si>
  <si>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</si>
  <si>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</si>
  <si>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</si>
  <si>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</si>
  <si>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</si>
  <si>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</si>
  <si>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</si>
  <si>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</si>
  <si>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</si>
  <si>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</si>
  <si>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</si>
  <si>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</si>
  <si>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</si>
  <si>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</si>
  <si>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</si>
  <si>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</si>
  <si>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</si>
  <si>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</si>
  <si>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</si>
  <si>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</si>
  <si>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</si>
  <si>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</si>
  <si>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</si>
  <si>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</si>
  <si>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</si>
  <si>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</si>
  <si>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</si>
  <si>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</si>
  <si>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</si>
  <si>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</si>
  <si>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</si>
  <si>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</si>
  <si>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</si>
  <si>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</si>
  <si>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</si>
  <si>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</si>
  <si>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</si>
  <si>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</si>
  <si>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</si>
  <si>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</si>
  <si>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</si>
  <si>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</si>
  <si>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</si>
  <si>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</si>
  <si>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</si>
  <si>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</si>
  <si>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</si>
  <si>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</si>
  <si>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</si>
  <si>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</si>
  <si>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</si>
  <si>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</si>
  <si>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</si>
  <si>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</si>
  <si>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</si>
  <si>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</si>
  <si>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</si>
  <si>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</si>
  <si>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</si>
  <si>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</si>
  <si>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</si>
  <si>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</si>
  <si>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</si>
  <si>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</si>
  <si>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</si>
  <si>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</si>
  <si>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</si>
  <si>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</si>
  <si>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</si>
  <si>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</si>
  <si>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</si>
  <si>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</si>
  <si>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</si>
  <si>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</si>
  <si>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</si>
  <si>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</si>
  <si>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</si>
  <si>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</si>
  <si>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</si>
  <si>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</si>
  <si>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</si>
  <si>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</si>
  <si>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</si>
  <si>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</si>
  <si>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</si>
  <si>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</si>
  <si>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</si>
  <si>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</si>
  <si>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</si>
  <si>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</si>
  <si>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</si>
  <si>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</si>
  <si>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</si>
  <si>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</si>
  <si>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</si>
  <si>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</si>
  <si>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</si>
  <si>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</si>
  <si>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</si>
  <si>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</si>
  <si>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</si>
  <si>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</si>
  <si>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</si>
  <si>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</si>
  <si>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</si>
  <si>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</si>
  <si>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</si>
  <si>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</si>
  <si>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</si>
  <si>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</si>
  <si>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</si>
  <si>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</si>
  <si>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</si>
  <si>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</si>
  <si>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</si>
  <si>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</si>
  <si>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</si>
  <si>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</si>
  <si>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</si>
  <si>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</si>
  <si>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</si>
  <si>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</si>
  <si>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</si>
  <si>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</si>
  <si>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</si>
  <si>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</si>
  <si>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</si>
  <si>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</si>
  <si>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</si>
  <si>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</si>
  <si>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</si>
  <si>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</si>
  <si>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</si>
  <si>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</si>
  <si>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</si>
  <si>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</si>
  <si>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</si>
  <si>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</si>
  <si>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</si>
  <si>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</si>
  <si>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</si>
  <si>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</si>
  <si>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</si>
  <si>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</si>
  <si>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</si>
  <si>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</si>
  <si>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</si>
  <si>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</si>
  <si>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</si>
  <si>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</si>
  <si>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</si>
  <si>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</si>
  <si>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</si>
  <si>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</si>
  <si>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</si>
  <si>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</si>
  <si>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</si>
  <si>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</si>
  <si>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</si>
  <si>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</si>
  <si>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</si>
  <si>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</si>
  <si>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</si>
  <si>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</si>
  <si>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</si>
  <si>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</si>
  <si>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</si>
  <si>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</si>
  <si>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</si>
  <si>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</si>
  <si>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</si>
  <si>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</si>
  <si>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</si>
  <si>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</si>
  <si>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</si>
  <si>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</si>
  <si>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</si>
  <si>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</si>
  <si>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</si>
  <si>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</si>
  <si>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</si>
  <si>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</si>
  <si>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</si>
  <si>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</si>
  <si>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</si>
  <si>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</si>
  <si>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</si>
  <si>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</si>
  <si>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</si>
  <si>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</si>
  <si>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</si>
  <si>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</si>
  <si>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</si>
  <si>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</si>
  <si>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</si>
  <si>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</si>
  <si>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</si>
  <si>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</si>
  <si>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</si>
  <si>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</si>
  <si>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</si>
  <si>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</si>
  <si>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</si>
  <si>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</si>
  <si>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</si>
  <si>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</si>
  <si>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</si>
  <si>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</si>
  <si>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</si>
  <si>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</si>
  <si>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</si>
  <si>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</si>
  <si>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</si>
  <si>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</si>
  <si>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</si>
  <si>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</si>
  <si>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</si>
  <si>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</si>
  <si>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</si>
  <si>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</si>
  <si>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</si>
  <si>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</si>
  <si>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</si>
  <si>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</si>
  <si>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</si>
  <si>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</si>
  <si>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</si>
  <si>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</si>
  <si>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</si>
  <si>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</si>
  <si>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</si>
  <si>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</si>
  <si>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</si>
  <si>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</si>
  <si>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</si>
  <si>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</si>
  <si>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</si>
  <si>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</si>
  <si>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</si>
  <si>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</si>
  <si>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</si>
  <si>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</si>
  <si>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</si>
  <si>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</si>
  <si>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</si>
  <si>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</si>
  <si>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</si>
  <si>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</si>
  <si>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</si>
  <si>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</si>
  <si>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</si>
  <si>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</si>
  <si>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</si>
  <si>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</si>
  <si>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</si>
  <si>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</si>
  <si>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</si>
  <si>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</si>
  <si>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</si>
  <si>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</si>
  <si>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</si>
  <si>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</si>
  <si>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</si>
  <si>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</si>
  <si>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</si>
  <si>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</si>
  <si>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</si>
  <si>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</si>
  <si>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</si>
  <si>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</si>
  <si>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</si>
  <si>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</si>
  <si>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</si>
  <si>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</si>
  <si>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</si>
  <si>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</si>
  <si>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</si>
  <si>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</si>
  <si>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</si>
  <si>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</si>
  <si>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</si>
  <si>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</si>
  <si>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</si>
  <si>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</si>
  <si>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</si>
  <si>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</si>
  <si>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</si>
  <si>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</si>
  <si>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</si>
  <si>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</si>
  <si>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</si>
  <si>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</si>
  <si>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</si>
  <si>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</si>
  <si>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</si>
  <si>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</si>
  <si>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</si>
  <si>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</si>
  <si>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</si>
  <si>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</si>
  <si>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</si>
  <si>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</si>
  <si>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</si>
  <si>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</si>
  <si>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</si>
  <si>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</si>
  <si>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</si>
  <si>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</si>
  <si>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</si>
  <si>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</si>
  <si>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</si>
  <si>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</si>
  <si>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</si>
  <si>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</si>
  <si>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</si>
  <si>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</si>
  <si>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</si>
  <si>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</si>
  <si>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</si>
  <si>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</si>
  <si>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</si>
  <si>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</si>
  <si>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</si>
  <si>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</si>
  <si>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</si>
  <si>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</si>
  <si>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</si>
  <si>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</si>
  <si>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</si>
  <si>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</si>
  <si>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</si>
  <si>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</si>
  <si>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</si>
  <si>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</si>
  <si>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</si>
  <si>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</si>
  <si>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</si>
  <si>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</si>
  <si>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</si>
  <si>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</si>
  <si>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</si>
  <si>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</si>
  <si>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</si>
  <si>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</si>
  <si>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</si>
  <si>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</si>
  <si>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</si>
  <si>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</si>
  <si>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</si>
  <si>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</si>
  <si>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</si>
  <si>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</si>
  <si>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</si>
  <si>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</si>
  <si>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</si>
  <si>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</si>
  <si>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</si>
  <si>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</si>
  <si>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</si>
  <si>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</si>
  <si>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</si>
  <si>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</si>
  <si>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</si>
  <si>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</si>
  <si>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</si>
  <si>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</si>
  <si>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</si>
  <si>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</si>
  <si>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</si>
  <si>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</si>
  <si>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</si>
  <si>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</si>
  <si>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</si>
  <si>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</si>
  <si>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</si>
  <si>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</si>
  <si>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</si>
  <si>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</si>
  <si>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</si>
  <si>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</si>
  <si>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</si>
  <si>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</si>
  <si>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</si>
  <si>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</si>
  <si>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</si>
  <si>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</si>
  <si>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</si>
  <si>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</si>
  <si>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</si>
  <si>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</si>
  <si>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</si>
  <si>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</si>
  <si>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</si>
  <si>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</si>
  <si>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</si>
  <si>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</si>
  <si>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</si>
  <si>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</si>
  <si>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</si>
  <si>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</si>
  <si>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</si>
  <si>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</si>
  <si>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</si>
  <si>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</si>
  <si>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</si>
  <si>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</si>
  <si>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</si>
  <si>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</si>
  <si>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</si>
  <si>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</si>
  <si>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</si>
  <si>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</si>
  <si>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</si>
  <si>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</si>
  <si>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</si>
  <si>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</si>
  <si>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</si>
  <si>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</si>
  <si>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</si>
  <si>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</si>
  <si>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</si>
  <si>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</si>
  <si>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</si>
  <si>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</si>
  <si>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</si>
  <si>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</si>
  <si>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</si>
  <si>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</si>
  <si>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</si>
  <si>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</si>
  <si>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</si>
  <si>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</si>
  <si>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</si>
  <si>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</si>
  <si>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</si>
  <si>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</si>
  <si>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</si>
  <si>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</si>
  <si>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</si>
  <si>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</si>
  <si>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</si>
  <si>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</si>
  <si>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</si>
  <si>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</si>
  <si>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</si>
  <si>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</si>
  <si>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</si>
  <si>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</si>
  <si>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</si>
  <si>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</si>
  <si>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</si>
  <si>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</si>
  <si>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</si>
  <si>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</si>
  <si>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</si>
  <si>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</si>
  <si>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</si>
  <si>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</si>
  <si>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</si>
  <si>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</si>
  <si>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</si>
  <si>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</si>
  <si>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</si>
  <si>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</si>
  <si>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</si>
  <si>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</si>
  <si>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</si>
  <si>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</si>
  <si>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</si>
  <si>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</si>
  <si>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</si>
  <si>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</si>
  <si>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</si>
  <si>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</si>
  <si>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</si>
  <si>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</si>
  <si>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</si>
  <si>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</si>
  <si>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</si>
  <si>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</si>
  <si>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</si>
  <si>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</si>
  <si>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</si>
  <si>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</si>
  <si>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</si>
  <si>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</si>
  <si>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</si>
  <si>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</si>
  <si>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</si>
  <si>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</si>
  <si>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</si>
  <si>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</si>
  <si>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</si>
  <si>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</si>
  <si>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</si>
  <si>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</si>
  <si>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</si>
  <si>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</si>
  <si>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</si>
  <si>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</si>
  <si>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</si>
  <si>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</si>
  <si>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</si>
  <si>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</si>
  <si>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</si>
  <si>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</si>
  <si>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</si>
  <si>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</si>
  <si>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</si>
  <si>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</si>
  <si>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</si>
  <si>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</si>
  <si>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</si>
  <si>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</si>
  <si>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</si>
  <si>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</si>
  <si>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</si>
  <si>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</si>
  <si>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</si>
  <si>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</si>
  <si>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</si>
  <si>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</si>
  <si>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</si>
  <si>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</si>
  <si>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</si>
  <si>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</si>
  <si>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</si>
  <si>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</si>
  <si>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</si>
  <si>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</si>
  <si>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</si>
  <si>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</si>
  <si>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</si>
  <si>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</si>
  <si>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</si>
  <si>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</si>
  <si>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</si>
  <si>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</si>
  <si>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</si>
  <si>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</si>
  <si>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</si>
  <si>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</si>
  <si>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</si>
  <si>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</si>
  <si>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</si>
  <si>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</si>
  <si>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</si>
  <si>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</si>
  <si>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</si>
  <si>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</si>
  <si>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</si>
  <si>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</si>
  <si>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</si>
  <si>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</si>
  <si>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</si>
  <si>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</si>
  <si>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</si>
  <si>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</si>
  <si>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</si>
  <si>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</si>
  <si>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</si>
  <si>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</si>
  <si>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</si>
  <si>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</si>
  <si>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</si>
  <si>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</si>
  <si>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</si>
  <si>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</si>
  <si>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</si>
  <si>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</si>
  <si>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</si>
  <si>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</si>
  <si>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</si>
  <si>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</si>
  <si>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</si>
  <si>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</si>
  <si>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</si>
  <si>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</si>
  <si>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</si>
  <si>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</si>
  <si>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</si>
  <si>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</si>
  <si>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</si>
  <si>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</si>
  <si>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</si>
  <si>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</si>
  <si>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</si>
  <si>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</si>
  <si>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</si>
  <si>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</si>
  <si>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</si>
  <si>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</si>
  <si>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</si>
  <si>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</si>
  <si>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</si>
  <si>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</si>
  <si>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</si>
  <si>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</si>
  <si>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</si>
  <si>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</si>
  <si>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</si>
  <si>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</si>
  <si>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</si>
  <si>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</si>
  <si>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</si>
  <si>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</si>
  <si>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</si>
  <si>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</si>
  <si>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</si>
  <si>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</si>
  <si>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</si>
  <si>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</si>
  <si>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</si>
  <si>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</si>
  <si>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</si>
  <si>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</si>
  <si>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</si>
  <si>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</si>
  <si>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</si>
  <si>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</si>
  <si>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</si>
  <si>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</si>
  <si>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</si>
  <si>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</si>
  <si>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</si>
  <si>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</si>
  <si>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</si>
  <si>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</si>
  <si>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</si>
  <si>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</si>
  <si>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</si>
  <si>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</si>
  <si>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</si>
  <si>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</si>
  <si>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</si>
  <si>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</si>
  <si>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</si>
  <si>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</si>
  <si>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</si>
  <si>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</si>
  <si>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</si>
  <si>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</si>
  <si>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</si>
  <si>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</si>
  <si>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</si>
  <si>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</si>
  <si>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</si>
  <si>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</si>
  <si>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</si>
  <si>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</si>
  <si>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</si>
  <si>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</si>
  <si>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</si>
  <si>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</si>
  <si>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</si>
  <si>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</si>
  <si>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</si>
  <si>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</si>
  <si>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</si>
  <si>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</si>
  <si>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</si>
  <si>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</si>
  <si>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</si>
  <si>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</si>
  <si>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</si>
  <si>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</si>
  <si>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</si>
  <si>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</si>
  <si>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</si>
  <si>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</si>
  <si>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</si>
  <si>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</si>
  <si>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</si>
  <si>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</si>
  <si>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</si>
  <si>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</si>
  <si>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</si>
  <si>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</si>
  <si>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</si>
  <si>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</si>
  <si>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</si>
  <si>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</si>
  <si>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</si>
  <si>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</si>
  <si>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</si>
  <si>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</si>
  <si>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</si>
  <si>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</si>
  <si>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</si>
  <si>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</si>
  <si>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</si>
  <si>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</si>
  <si>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</si>
  <si>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</si>
  <si>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</si>
  <si>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</si>
  <si>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</si>
  <si>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</si>
  <si>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</si>
  <si>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</si>
  <si>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</si>
  <si>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</si>
  <si>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</si>
  <si>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</si>
  <si>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</si>
  <si>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</si>
  <si>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</si>
  <si>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</si>
  <si>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</si>
  <si>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</si>
  <si>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</si>
  <si>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</si>
  <si>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</si>
  <si>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</si>
  <si>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</si>
  <si>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</si>
  <si>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</si>
  <si>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</si>
  <si>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</si>
  <si>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</si>
  <si>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</si>
  <si>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</si>
  <si>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</si>
  <si>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</si>
  <si>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</si>
  <si>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</si>
  <si>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</si>
  <si>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</si>
  <si>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</si>
  <si>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</si>
  <si>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</si>
  <si>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</si>
  <si>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</si>
  <si>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</si>
  <si>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</si>
  <si>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</si>
  <si>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</si>
  <si>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</si>
  <si>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</si>
  <si>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</si>
  <si>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</si>
  <si>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</si>
  <si>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</si>
  <si>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</si>
  <si>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</si>
  <si>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</si>
  <si>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</si>
  <si>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</si>
  <si>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</si>
  <si>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</si>
  <si>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</si>
  <si>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</si>
  <si>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</si>
  <si>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</si>
  <si>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</si>
  <si>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</si>
  <si>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</si>
  <si>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</si>
  <si>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</si>
  <si>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</si>
  <si>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</si>
  <si>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</si>
  <si>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</si>
  <si>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</si>
  <si>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</si>
  <si>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</si>
  <si>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</si>
  <si>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</si>
  <si>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</si>
  <si>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</si>
  <si>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</si>
  <si>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</si>
  <si>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</si>
  <si>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</si>
  <si>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</si>
  <si>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</si>
  <si>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</si>
  <si>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</si>
  <si>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</si>
  <si>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</si>
  <si>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</si>
  <si>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</si>
  <si>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</si>
  <si>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</si>
  <si>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</si>
  <si>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</si>
  <si>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</si>
  <si>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</si>
  <si>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</si>
  <si>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</si>
  <si>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</si>
  <si>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</si>
  <si>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</si>
  <si>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</si>
  <si>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</si>
  <si>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</si>
  <si>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</si>
  <si>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</si>
  <si>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</si>
  <si>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</si>
  <si>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</si>
  <si>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</si>
  <si>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</si>
  <si>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</si>
  <si>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</si>
  <si>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</si>
  <si>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</si>
  <si>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</si>
  <si>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</si>
  <si>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</si>
  <si>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</si>
  <si>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</si>
  <si>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</si>
  <si>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</si>
  <si>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</si>
  <si>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</si>
  <si>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</si>
  <si>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</si>
  <si>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</si>
  <si>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</si>
  <si>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</si>
  <si>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</si>
  <si>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</si>
  <si>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</si>
  <si>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</si>
  <si>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</si>
  <si>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</si>
  <si>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</si>
  <si>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</si>
  <si>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</si>
  <si>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</si>
  <si>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</si>
  <si>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</si>
  <si>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</si>
  <si>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</si>
  <si>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</si>
  <si>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</si>
  <si>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</si>
  <si>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</si>
  <si>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</si>
  <si>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</si>
  <si>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</si>
  <si>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</si>
  <si>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</si>
  <si>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</si>
  <si>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</si>
  <si>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</si>
  <si>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</si>
  <si>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</si>
  <si>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</si>
  <si>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</si>
  <si>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</si>
  <si>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</si>
  <si>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</si>
  <si>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</si>
  <si>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</si>
  <si>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</si>
  <si>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</si>
  <si>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</si>
  <si>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</si>
  <si>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</si>
  <si>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</si>
  <si>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</si>
  <si>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</si>
  <si>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</si>
  <si>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</si>
  <si>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</si>
  <si>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</si>
  <si>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</si>
  <si>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</si>
  <si>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</si>
  <si>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</si>
  <si>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</si>
  <si>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</si>
  <si>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</si>
  <si>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</si>
  <si>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</si>
  <si>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</si>
  <si>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</si>
  <si>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</si>
  <si>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</si>
  <si>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</si>
  <si>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</si>
  <si>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</si>
  <si>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</si>
  <si>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</si>
  <si>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</si>
  <si>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</si>
  <si>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</si>
  <si>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</si>
  <si>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</si>
  <si>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</si>
  <si>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</si>
  <si>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</si>
  <si>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</si>
  <si>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</si>
  <si>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</si>
  <si>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</si>
  <si>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</si>
  <si>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</si>
  <si>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</si>
  <si>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</si>
  <si>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</si>
  <si>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</si>
  <si>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</si>
  <si>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</si>
  <si>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</si>
  <si>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</si>
  <si>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</si>
  <si>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</si>
  <si>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</si>
  <si>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</si>
  <si>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</si>
  <si>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</si>
  <si>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</si>
  <si>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</si>
  <si>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</si>
  <si>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</si>
  <si>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</si>
  <si>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</si>
  <si>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</si>
  <si>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</si>
  <si>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</si>
  <si>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</si>
  <si>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</si>
  <si>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</si>
  <si>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</si>
  <si>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</si>
  <si>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</si>
  <si>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</si>
  <si>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</si>
  <si>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</si>
  <si>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</si>
  <si>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</si>
  <si>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</si>
  <si>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</si>
  <si>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</si>
  <si>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</si>
  <si>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</si>
  <si>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</si>
  <si>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</si>
  <si>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</si>
  <si>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</si>
  <si>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</si>
  <si>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</si>
  <si>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</si>
  <si>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</si>
  <si>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</si>
  <si>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</si>
  <si>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</si>
  <si>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</si>
  <si>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</si>
  <si>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</si>
  <si>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</si>
  <si>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</si>
  <si>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</si>
  <si>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</si>
  <si>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</si>
  <si>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</si>
  <si>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</si>
  <si>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</si>
  <si>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</si>
  <si>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</si>
  <si>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</si>
  <si>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</si>
  <si>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</si>
  <si>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</si>
  <si>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</si>
  <si>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</si>
  <si>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</si>
  <si>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</si>
  <si>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</si>
  <si>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</si>
  <si>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</si>
  <si>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</si>
  <si>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</si>
  <si>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</si>
  <si>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</si>
  <si>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</si>
  <si>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</si>
  <si>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</si>
  <si>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</si>
  <si>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</si>
  <si>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</si>
  <si>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</si>
  <si>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</si>
  <si>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</si>
  <si>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</si>
  <si>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</si>
  <si>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</si>
  <si>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</si>
  <si>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</si>
  <si>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</si>
  <si>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</si>
  <si>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</si>
  <si>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</si>
  <si>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</si>
  <si>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</si>
  <si>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</si>
  <si>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</si>
  <si>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</si>
  <si>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</si>
  <si>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</si>
  <si>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</si>
  <si>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</si>
  <si>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</si>
  <si>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</si>
  <si>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</si>
  <si>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</si>
  <si>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</si>
  <si>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</si>
  <si>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</si>
  <si>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</si>
  <si>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</si>
  <si>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</si>
  <si>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</si>
  <si>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</si>
  <si>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</si>
  <si>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</si>
  <si>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</si>
  <si>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</si>
  <si>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</si>
  <si>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</si>
  <si>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</si>
  <si>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</si>
  <si>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</si>
  <si>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</si>
  <si>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</si>
  <si>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</si>
  <si>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</si>
  <si>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</si>
  <si>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</si>
  <si>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</si>
  <si>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</si>
  <si>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</si>
  <si>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</si>
  <si>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</si>
  <si>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</si>
  <si>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</si>
  <si>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</si>
  <si>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</si>
  <si>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</si>
  <si>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</si>
  <si>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</si>
  <si>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</si>
  <si>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</si>
  <si>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</si>
  <si>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</si>
  <si>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</si>
  <si>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</si>
  <si>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</si>
  <si>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</si>
  <si>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</si>
  <si>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</si>
  <si>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</si>
  <si>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</si>
  <si>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</si>
  <si>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</si>
  <si>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</si>
  <si>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</si>
  <si>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</si>
  <si>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</si>
  <si>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</si>
  <si>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</si>
  <si>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</si>
  <si>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</si>
  <si>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</si>
  <si>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</si>
  <si>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</si>
  <si>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</si>
  <si>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</si>
  <si>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</si>
  <si>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</si>
  <si>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</si>
  <si>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</si>
  <si>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</si>
  <si>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</si>
  <si>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</si>
  <si>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</si>
  <si>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</si>
  <si>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</si>
  <si>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</si>
  <si>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</si>
  <si>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</si>
  <si>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</si>
  <si>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</si>
  <si>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</si>
  <si>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</si>
  <si>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</si>
  <si>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</si>
  <si>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</si>
  <si>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</si>
  <si>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</si>
  <si>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</si>
  <si>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</si>
  <si>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</si>
  <si>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</si>
  <si>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</si>
  <si>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</si>
  <si>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</si>
  <si>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</si>
  <si>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</si>
  <si>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</si>
  <si>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</si>
  <si>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</si>
  <si>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</si>
  <si>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</si>
  <si>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</si>
  <si>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</si>
  <si>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</si>
  <si>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</si>
  <si>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</si>
  <si>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</si>
  <si>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</si>
  <si>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</si>
  <si>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</si>
  <si>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</si>
  <si>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</si>
  <si>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</si>
  <si>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</si>
  <si>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</si>
  <si>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</si>
  <si>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</si>
  <si>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</si>
  <si>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</si>
  <si>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</si>
  <si>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</si>
  <si>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</si>
  <si>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</si>
  <si>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</si>
  <si>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</si>
  <si>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</si>
  <si>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</si>
  <si>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</si>
  <si>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</si>
  <si>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</si>
  <si>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</si>
  <si>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</si>
  <si>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</si>
  <si>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</si>
  <si>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</si>
  <si>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</si>
  <si>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</si>
  <si>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</si>
  <si>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</si>
  <si>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</si>
  <si>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</si>
  <si>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</si>
  <si>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</si>
  <si>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</si>
  <si>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</si>
  <si>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</si>
  <si>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</si>
  <si>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</si>
  <si>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</si>
  <si>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</si>
  <si>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</si>
  <si>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</si>
  <si>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</si>
  <si>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</si>
  <si>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</si>
  <si>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</si>
  <si>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</si>
  <si>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</si>
  <si>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</si>
  <si>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</si>
  <si>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</si>
  <si>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</si>
  <si>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</si>
  <si>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</si>
  <si>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</si>
  <si>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</si>
  <si>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</si>
  <si>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</si>
  <si>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</si>
  <si>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</si>
  <si>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</si>
  <si>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</si>
  <si>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</si>
  <si>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</si>
  <si>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</si>
  <si>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</si>
  <si>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</si>
  <si>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</si>
  <si>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</si>
  <si>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</si>
  <si>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</si>
  <si>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</si>
  <si>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</si>
  <si>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</si>
  <si>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</si>
  <si>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</si>
  <si>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</si>
  <si>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</si>
  <si>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</si>
  <si>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</si>
  <si>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</si>
  <si>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</si>
  <si>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</si>
  <si>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</si>
  <si>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</si>
  <si>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</si>
  <si>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</si>
  <si>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</si>
  <si>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</si>
  <si>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</si>
  <si>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</si>
  <si>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</si>
  <si>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</si>
  <si>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</si>
  <si>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</si>
  <si>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</si>
  <si>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</si>
  <si>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</si>
  <si>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</si>
  <si>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</si>
  <si>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</si>
  <si>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</si>
  <si>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</si>
  <si>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</si>
  <si>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</si>
  <si>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</si>
  <si>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</si>
  <si>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</si>
  <si>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</si>
  <si>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</si>
  <si>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</si>
  <si>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</si>
  <si>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</si>
  <si>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</si>
  <si>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</si>
  <si>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</si>
  <si>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</si>
  <si>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</si>
  <si>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</si>
  <si>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</si>
  <si>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</si>
  <si>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</si>
  <si>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</si>
  <si>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</si>
  <si>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</si>
  <si>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</si>
  <si>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</si>
  <si>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</si>
  <si>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</si>
  <si>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</si>
  <si>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</si>
  <si>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</si>
  <si>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</si>
  <si>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</si>
  <si>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</si>
  <si>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</si>
  <si>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</si>
  <si>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</si>
  <si>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</si>
  <si>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</si>
  <si>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</si>
  <si>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</si>
  <si>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</si>
  <si>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</si>
  <si>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</si>
  <si>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</si>
  <si>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</si>
  <si>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</si>
  <si>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</si>
  <si>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</si>
  <si>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</si>
  <si>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</si>
  <si>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</si>
  <si>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</si>
  <si>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</si>
  <si>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</si>
  <si>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</si>
  <si>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</si>
  <si>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</si>
  <si>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</si>
  <si>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</si>
  <si>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</si>
  <si>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</si>
  <si>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</si>
  <si>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</si>
  <si>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</si>
  <si>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</si>
  <si>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</si>
  <si>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</si>
  <si>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</si>
  <si>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</si>
  <si>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</si>
  <si>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</si>
  <si>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</si>
  <si>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</si>
  <si>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</si>
  <si>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</si>
  <si>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</si>
  <si>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</si>
  <si>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</si>
  <si>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</si>
  <si>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</si>
  <si>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</si>
  <si>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</si>
  <si>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</si>
  <si>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</si>
  <si>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</si>
  <si>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</si>
  <si>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</si>
  <si>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</si>
  <si>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</si>
  <si>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</si>
  <si>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</si>
  <si>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</si>
  <si>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</si>
  <si>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</si>
  <si>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</si>
  <si>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</si>
  <si>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</si>
  <si>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</si>
  <si>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</si>
  <si>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</si>
  <si>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</si>
  <si>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</si>
  <si>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</si>
  <si>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</si>
  <si>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</si>
  <si>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</si>
  <si>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</si>
  <si>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</si>
  <si>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</si>
  <si>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</si>
  <si>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</si>
  <si>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</si>
  <si>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</si>
  <si>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</si>
  <si>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</si>
  <si>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</si>
  <si>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</si>
  <si>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</si>
  <si>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</si>
  <si>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</si>
  <si>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</si>
  <si>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</si>
  <si>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</si>
  <si>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</si>
  <si>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</si>
  <si>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</si>
  <si>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</si>
  <si>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</si>
  <si>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</si>
  <si>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</si>
  <si>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</si>
  <si>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</si>
  <si>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</si>
  <si>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</si>
  <si>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</si>
  <si>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</si>
  <si>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</si>
  <si>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</si>
  <si>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</si>
  <si>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</si>
  <si>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</si>
  <si>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</si>
  <si>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</si>
  <si>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</si>
  <si>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</si>
  <si>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</si>
  <si>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</si>
  <si>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</si>
  <si>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</si>
  <si>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</si>
  <si>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</si>
  <si>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</si>
  <si>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</si>
  <si>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</si>
  <si>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</si>
  <si>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</si>
  <si>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</si>
  <si>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</si>
  <si>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</si>
  <si>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</si>
  <si>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</si>
  <si>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</si>
  <si>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</si>
  <si>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</si>
  <si>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</si>
  <si>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</si>
  <si>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</si>
  <si>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</si>
  <si>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</si>
  <si>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</si>
  <si>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</si>
  <si>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</si>
  <si>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</si>
  <si>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</si>
  <si>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</si>
  <si>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</si>
  <si>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</si>
  <si>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</si>
  <si>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</si>
  <si>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</si>
  <si>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</si>
  <si>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</si>
  <si>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</si>
  <si>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</si>
  <si>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</si>
  <si>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</si>
  <si>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</si>
  <si>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</si>
  <si>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</si>
  <si>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</si>
  <si>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</si>
  <si>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</si>
  <si>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</si>
  <si>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</si>
  <si>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</si>
  <si>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</si>
  <si>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</si>
  <si>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</si>
  <si>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</si>
  <si>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</si>
  <si>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</si>
  <si>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</si>
  <si>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</si>
  <si>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</si>
  <si>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</si>
  <si>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</si>
  <si>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</si>
  <si>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</si>
  <si>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</si>
  <si>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</si>
  <si>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</si>
  <si>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</si>
  <si>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</si>
  <si>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</si>
  <si>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</si>
  <si>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</si>
  <si>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</si>
  <si>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</si>
  <si>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</si>
  <si>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</si>
  <si>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</si>
  <si>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</si>
  <si>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</si>
  <si>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</si>
  <si>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</si>
  <si>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</si>
  <si>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</si>
  <si>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</si>
  <si>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</si>
  <si>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</si>
  <si>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</si>
  <si>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</si>
  <si>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</si>
  <si>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</si>
  <si>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</si>
  <si>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</si>
  <si>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</si>
  <si>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</si>
  <si>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</si>
  <si>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</si>
  <si>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</si>
  <si>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</si>
  <si>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</si>
  <si>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</si>
  <si>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</si>
  <si>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</si>
  <si>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</si>
  <si>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</si>
  <si>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</si>
  <si>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</si>
  <si>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</si>
  <si>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</si>
  <si>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</si>
  <si>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</si>
  <si>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</si>
  <si>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</si>
  <si>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</si>
  <si>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</si>
  <si>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</si>
  <si>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</si>
  <si>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</si>
  <si>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</si>
  <si>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</si>
  <si>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</si>
  <si>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</si>
  <si>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</si>
  <si>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</si>
  <si>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</si>
  <si>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</si>
  <si>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</si>
  <si>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</si>
  <si>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</si>
  <si>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</si>
  <si>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</si>
  <si>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</si>
  <si>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</si>
  <si>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</si>
  <si>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</si>
  <si>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</si>
  <si>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</si>
  <si>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</si>
  <si>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</si>
  <si>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</si>
  <si>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</si>
  <si>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</si>
  <si>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</si>
  <si>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</si>
  <si>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</si>
  <si>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</si>
  <si>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</si>
  <si>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</si>
  <si>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</si>
  <si>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</si>
  <si>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</si>
  <si>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</si>
  <si>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</si>
  <si>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</si>
  <si>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</si>
  <si>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</si>
  <si>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</si>
  <si>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</si>
  <si>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</si>
  <si>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</si>
  <si>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</si>
  <si>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</si>
  <si>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</si>
  <si>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</si>
  <si>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</si>
  <si>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</si>
  <si>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</si>
  <si>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</si>
  <si>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</si>
  <si>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</si>
  <si>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</si>
  <si>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</si>
  <si>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</si>
  <si>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</si>
  <si>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</si>
  <si>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</si>
  <si>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</si>
  <si>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</si>
  <si>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</si>
  <si>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</si>
  <si>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</si>
  <si>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</si>
  <si>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</si>
  <si>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</si>
  <si>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</si>
  <si>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</si>
  <si>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</si>
  <si>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</si>
  <si>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</si>
  <si>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</si>
  <si>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</si>
  <si>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</si>
  <si>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</si>
  <si>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</si>
  <si>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</si>
  <si>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</si>
  <si>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</si>
  <si>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</si>
  <si>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</si>
  <si>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</si>
  <si>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</si>
  <si>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</si>
  <si>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</si>
  <si>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</si>
  <si>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</si>
  <si>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</si>
  <si>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</si>
  <si>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</si>
  <si>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</si>
  <si>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</si>
  <si>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</si>
  <si>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</si>
  <si>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</si>
  <si>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</si>
  <si>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</si>
  <si>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</si>
  <si>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</si>
  <si>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</si>
  <si>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</si>
  <si>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</si>
  <si>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</si>
  <si>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</si>
  <si>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</si>
  <si>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</si>
  <si>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</si>
  <si>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</si>
  <si>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</si>
  <si>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</si>
  <si>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</si>
  <si>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</si>
  <si>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</si>
  <si>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</si>
  <si>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</si>
  <si>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</si>
  <si>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</si>
  <si>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</si>
  <si>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</si>
  <si>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</si>
  <si>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</si>
  <si>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</si>
  <si>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</si>
  <si>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</si>
  <si>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</si>
  <si>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</si>
  <si>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</si>
  <si>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</si>
  <si>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</si>
  <si>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</si>
  <si>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</si>
  <si>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</si>
  <si>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</si>
  <si>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</si>
  <si>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</si>
  <si>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</si>
  <si>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</si>
  <si>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</si>
  <si>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</si>
  <si>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</si>
  <si>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</si>
  <si>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</si>
  <si>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</si>
  <si>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</si>
  <si>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</si>
  <si>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</si>
  <si>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</si>
  <si>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</si>
  <si>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</si>
  <si>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</si>
  <si>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</si>
  <si>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</si>
  <si>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</si>
  <si>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</si>
  <si>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</si>
  <si>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</si>
  <si>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</si>
  <si>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</si>
  <si>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</si>
  <si>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</si>
  <si>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</si>
  <si>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</si>
  <si>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</si>
  <si>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</si>
  <si>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</si>
  <si>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</si>
  <si>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</si>
  <si>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</si>
  <si>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</si>
  <si>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</si>
  <si>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</si>
  <si>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</si>
  <si>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</si>
  <si>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</si>
  <si>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</si>
  <si>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</si>
  <si>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</si>
  <si>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</si>
  <si>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</si>
  <si>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</si>
  <si>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</si>
  <si>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</si>
  <si>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</si>
  <si>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</si>
  <si>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</si>
  <si>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</si>
  <si>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</si>
  <si>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</si>
  <si>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</si>
  <si>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</si>
  <si>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</si>
  <si>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</si>
  <si>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</si>
  <si>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</si>
  <si>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</si>
  <si>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</si>
  <si>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</si>
  <si>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</si>
  <si>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</si>
  <si>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</si>
  <si>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</si>
  <si>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</si>
  <si>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</si>
  <si>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</si>
  <si>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</si>
  <si>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</si>
  <si>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</si>
  <si>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</si>
  <si>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</si>
  <si>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</si>
  <si>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</si>
  <si>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</si>
  <si>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</si>
  <si>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</si>
  <si>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</si>
  <si>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</si>
  <si>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</si>
  <si>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</si>
  <si>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</si>
  <si>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</si>
  <si>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</si>
  <si>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</si>
  <si>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</si>
  <si>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</si>
  <si>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</si>
  <si>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</si>
  <si>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</si>
  <si>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</si>
  <si>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</si>
  <si>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</si>
  <si>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</si>
  <si>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</si>
  <si>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</si>
  <si>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</si>
  <si>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</si>
  <si>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</si>
  <si>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</si>
  <si>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</si>
  <si>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</si>
  <si>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</si>
  <si>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</si>
  <si>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</si>
  <si>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</si>
  <si>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</si>
  <si>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</si>
  <si>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</si>
  <si>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</si>
  <si>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</si>
  <si>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</si>
  <si>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</si>
  <si>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</si>
  <si>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</si>
  <si>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</si>
  <si>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</si>
  <si>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</si>
  <si>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</si>
  <si>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</si>
  <si>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</si>
  <si>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</si>
  <si>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</si>
  <si>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</si>
  <si>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</si>
  <si>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</si>
  <si>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</si>
  <si>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</si>
  <si>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</si>
  <si>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</si>
  <si>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</si>
  <si>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</si>
  <si>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</si>
  <si>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</si>
  <si>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</si>
  <si>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</si>
  <si>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</si>
  <si>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</si>
  <si>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</si>
  <si>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</si>
  <si>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</si>
  <si>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</si>
  <si>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</si>
  <si>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</si>
  <si>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</si>
  <si>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</si>
  <si>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</si>
  <si>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</si>
  <si>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</si>
  <si>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</si>
  <si>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</si>
  <si>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</si>
  <si>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</si>
  <si>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</si>
  <si>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</si>
  <si>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</si>
  <si>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</si>
  <si>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</si>
  <si>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</si>
  <si>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</si>
  <si>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</si>
  <si>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</si>
  <si>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</si>
  <si>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</si>
  <si>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</si>
  <si>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</si>
  <si>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</si>
  <si>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</si>
  <si>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</si>
  <si>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</si>
  <si>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</si>
  <si>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</si>
  <si>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</si>
  <si>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</si>
  <si>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</si>
  <si>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</si>
  <si>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</si>
  <si>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</si>
  <si>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</si>
  <si>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</si>
  <si>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</si>
  <si>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</si>
  <si>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</si>
  <si>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</si>
  <si>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</si>
  <si>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</si>
  <si>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</si>
  <si>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</si>
  <si>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</si>
  <si>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</si>
  <si>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</si>
  <si>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</si>
  <si>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</si>
  <si>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</si>
  <si>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</si>
  <si>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</si>
  <si>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</si>
  <si>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</si>
  <si>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</si>
  <si>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</si>
  <si>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</si>
  <si>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</si>
  <si>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</si>
  <si>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</si>
  <si>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</si>
  <si>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</si>
  <si>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</si>
  <si>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</si>
  <si>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</si>
  <si>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</si>
  <si>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</si>
  <si>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</si>
  <si>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</si>
  <si>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</si>
  <si>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</si>
  <si>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</si>
  <si>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</si>
  <si>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</si>
  <si>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</si>
  <si>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</si>
  <si>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</si>
  <si>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</si>
  <si>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</si>
  <si>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</si>
  <si>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</si>
  <si>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</si>
  <si>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</si>
  <si>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</si>
  <si>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</si>
  <si>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</si>
  <si>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</si>
  <si>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</si>
  <si>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</si>
  <si>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</si>
  <si>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</si>
  <si>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</si>
  <si>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</si>
  <si>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</si>
  <si>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</si>
  <si>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</si>
  <si>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</si>
  <si>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</si>
  <si>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</si>
  <si>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</si>
  <si>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</si>
  <si>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</si>
  <si>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</si>
  <si>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</si>
  <si>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</si>
  <si>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</si>
  <si>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</si>
  <si>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</si>
  <si>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</si>
  <si>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</si>
  <si>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</si>
  <si>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</si>
  <si>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</si>
  <si>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</si>
  <si>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</si>
  <si>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</si>
  <si>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</si>
  <si>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</si>
  <si>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</si>
  <si>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</si>
  <si>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</si>
  <si>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</si>
  <si>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</si>
  <si>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</si>
  <si>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</si>
  <si>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</si>
  <si>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</si>
  <si>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</si>
  <si>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</si>
  <si>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</si>
  <si>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</si>
  <si>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</si>
  <si>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</si>
  <si>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</si>
  <si>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</si>
  <si>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</si>
  <si>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</si>
  <si>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</si>
  <si>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</si>
  <si>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</si>
  <si>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</si>
  <si>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</si>
  <si>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</si>
  <si>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</si>
  <si>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</si>
  <si>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</si>
  <si>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</si>
  <si>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</si>
  <si>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</si>
  <si>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</si>
  <si>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</si>
  <si>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</si>
  <si>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</si>
  <si>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</si>
  <si>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</si>
  <si>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</si>
  <si>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</si>
  <si>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</si>
  <si>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</si>
  <si>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</si>
  <si>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</si>
  <si>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</si>
  <si>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</si>
  <si>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</si>
  <si>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</si>
  <si>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</si>
  <si>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</si>
  <si>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</si>
  <si>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</si>
  <si>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</si>
  <si>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</si>
  <si>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</si>
  <si>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</si>
  <si>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</si>
  <si>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</si>
  <si>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</si>
  <si>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</si>
  <si>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</si>
  <si>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</si>
  <si>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</si>
  <si>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</si>
  <si>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</si>
  <si>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</si>
  <si>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</si>
  <si>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</si>
  <si>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</si>
  <si>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</si>
  <si>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</si>
  <si>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</si>
  <si>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</si>
  <si>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</si>
  <si>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</si>
  <si>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</si>
  <si>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</si>
  <si>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</si>
  <si>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</si>
  <si>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</si>
  <si>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</si>
  <si>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</si>
  <si>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</si>
  <si>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</si>
  <si>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</si>
  <si>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</si>
  <si>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</si>
  <si>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</si>
  <si>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</si>
  <si>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</si>
  <si>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</si>
  <si>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</si>
  <si>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</si>
  <si>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</si>
  <si>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</si>
  <si>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</si>
  <si>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</si>
  <si>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</si>
  <si>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</si>
  <si>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</si>
  <si>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</si>
  <si>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</si>
  <si>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</si>
  <si>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</si>
  <si>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</si>
  <si>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</si>
  <si>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</si>
  <si>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</si>
  <si>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</si>
  <si>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</si>
  <si>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</si>
  <si>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</si>
  <si>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</si>
  <si>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</si>
  <si>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</si>
  <si>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</si>
  <si>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</si>
  <si>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</si>
  <si>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</si>
  <si>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</si>
  <si>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</si>
  <si>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</si>
  <si>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</si>
  <si>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</si>
  <si>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</si>
  <si>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</si>
  <si>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</si>
  <si>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</si>
  <si>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</si>
  <si>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</si>
  <si>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</si>
  <si>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</si>
  <si>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</si>
  <si>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</si>
  <si>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</si>
  <si>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</si>
  <si>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</si>
  <si>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</si>
  <si>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</si>
  <si>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</si>
  <si>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</si>
  <si>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</si>
  <si>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</si>
  <si>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</si>
  <si>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</si>
  <si>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</si>
  <si>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</si>
  <si>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</si>
  <si>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</si>
  <si>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</si>
  <si>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</si>
  <si>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</si>
  <si>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</si>
  <si>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</si>
  <si>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</si>
  <si>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</si>
  <si>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</si>
  <si>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</si>
  <si>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</si>
  <si>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</si>
  <si>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</si>
  <si>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</si>
  <si>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</si>
  <si>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</si>
  <si>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</si>
  <si>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</si>
  <si>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</si>
  <si>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</si>
  <si>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</si>
  <si>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</si>
  <si>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</si>
  <si>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</si>
  <si>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</si>
  <si>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</si>
  <si>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</si>
  <si>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</si>
  <si>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</si>
  <si>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</si>
  <si>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</si>
  <si>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</si>
  <si>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</si>
  <si>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</si>
  <si>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</si>
  <si>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</si>
  <si>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</si>
  <si>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</si>
  <si>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</si>
  <si>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</si>
  <si>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</si>
  <si>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</si>
  <si>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</si>
  <si>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</si>
  <si>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</si>
  <si>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</si>
  <si>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</si>
  <si>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</si>
  <si>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</si>
  <si>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</si>
  <si>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</si>
  <si>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</si>
  <si>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</si>
  <si>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</si>
  <si>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</si>
  <si>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</si>
  <si>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</si>
  <si>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</si>
  <si>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</si>
  <si>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</si>
  <si>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</si>
  <si>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</si>
  <si>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</si>
  <si>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</si>
  <si>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</si>
  <si>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</si>
  <si>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</si>
  <si>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</si>
  <si>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</si>
  <si>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</si>
  <si>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</si>
  <si>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</si>
  <si>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</si>
  <si>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</si>
  <si>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</si>
  <si>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</si>
  <si>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</si>
  <si>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</si>
  <si>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</si>
  <si>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</si>
  <si>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</si>
  <si>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</si>
  <si>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</si>
  <si>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</si>
  <si>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</si>
  <si>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</si>
  <si>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</si>
  <si>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</si>
  <si>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</si>
  <si>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</si>
  <si>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</si>
  <si>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</si>
  <si>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</si>
  <si>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</si>
  <si>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</si>
  <si>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</si>
  <si>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</si>
  <si>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</si>
  <si>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</si>
  <si>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</si>
  <si>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</si>
  <si>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</si>
  <si>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</si>
  <si>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</si>
  <si>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</si>
  <si>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</si>
  <si>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</si>
  <si>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</si>
  <si>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</si>
  <si>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</si>
  <si>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</si>
  <si>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</si>
  <si>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</si>
  <si>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</si>
  <si>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</si>
  <si>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</si>
  <si>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</si>
  <si>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</si>
  <si>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</si>
  <si>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</si>
  <si>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</si>
  <si>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</si>
  <si>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</si>
  <si>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</si>
  <si>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</si>
  <si>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</si>
  <si>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</si>
  <si>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</si>
  <si>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</si>
  <si>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</si>
  <si>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</si>
  <si>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</si>
  <si>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</si>
  <si>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</si>
  <si>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</si>
  <si>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</si>
  <si>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</si>
  <si>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</si>
  <si>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</si>
  <si>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</si>
  <si>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</si>
  <si>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</si>
  <si>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</si>
  <si>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</si>
  <si>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</si>
  <si>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</si>
  <si>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</si>
  <si>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</si>
  <si>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</si>
  <si>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</si>
  <si>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</si>
  <si>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</si>
  <si>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</si>
  <si>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</si>
  <si>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</si>
  <si>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</si>
  <si>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</si>
  <si>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</si>
  <si>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</si>
  <si>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</si>
  <si>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</si>
  <si>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</si>
  <si>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</si>
  <si>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</si>
  <si>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</si>
  <si>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</si>
  <si>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</si>
  <si>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</si>
  <si>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</si>
  <si>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</si>
  <si>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</si>
  <si>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</si>
  <si>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</si>
  <si>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</si>
  <si>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</si>
  <si>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</si>
  <si>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</si>
  <si>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</si>
  <si>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</si>
  <si>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</si>
  <si>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</si>
  <si>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</si>
  <si>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</si>
  <si>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</si>
  <si>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</si>
  <si>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</si>
  <si>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</si>
  <si>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</si>
  <si>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</si>
  <si>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</si>
  <si>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</si>
  <si>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</si>
  <si>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</si>
  <si>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</si>
  <si>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</si>
  <si>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</si>
  <si>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</si>
  <si>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</si>
  <si>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</si>
  <si>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</si>
  <si>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</si>
  <si>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</si>
  <si>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</si>
  <si>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</si>
  <si>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</si>
  <si>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</si>
  <si>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</si>
  <si>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</si>
  <si>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</si>
  <si>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</si>
  <si>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</si>
  <si>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</si>
  <si>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</si>
  <si>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</si>
  <si>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</si>
  <si>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</si>
  <si>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</si>
  <si>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</si>
  <si>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</si>
  <si>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</si>
  <si>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</si>
  <si>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</si>
  <si>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</si>
  <si>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</si>
  <si>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</si>
  <si>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</si>
  <si>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</si>
  <si>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</si>
  <si>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</si>
  <si>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</si>
  <si>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</si>
  <si>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</si>
  <si>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</si>
  <si>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</si>
  <si>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</si>
  <si>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</si>
  <si>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</si>
  <si>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</si>
  <si>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</si>
  <si>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</si>
  <si>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</si>
  <si>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</si>
  <si>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</si>
  <si>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</si>
  <si>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</si>
  <si>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</si>
  <si>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</si>
  <si>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</si>
  <si>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</si>
  <si>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</si>
  <si>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</si>
  <si>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</si>
  <si>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</si>
  <si>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</si>
  <si>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</si>
  <si>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</si>
  <si>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</si>
  <si>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</si>
  <si>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</si>
  <si>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</si>
  <si>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</si>
  <si>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</si>
  <si>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</si>
  <si>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</si>
  <si>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</si>
  <si>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</si>
  <si>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</si>
  <si>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</si>
  <si>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</si>
  <si>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</si>
  <si>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</si>
  <si>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</si>
  <si>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</si>
  <si>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</si>
  <si>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</si>
  <si>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</si>
  <si>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</si>
  <si>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</si>
  <si>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</si>
  <si>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</si>
  <si>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</si>
  <si>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</si>
  <si>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</si>
  <si>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</si>
  <si>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</si>
  <si>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</si>
  <si>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</si>
  <si>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</si>
  <si>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</si>
  <si>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</si>
  <si>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</si>
  <si>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</si>
  <si>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</si>
  <si>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</si>
  <si>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</si>
  <si>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</si>
  <si>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</si>
  <si>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</si>
  <si>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</si>
  <si>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</si>
  <si>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</si>
  <si>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</si>
  <si>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</si>
  <si>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</si>
  <si>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</si>
  <si>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</si>
  <si>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</si>
  <si>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</si>
  <si>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</si>
  <si>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</si>
  <si>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</si>
  <si>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</si>
  <si>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</si>
  <si>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</si>
  <si>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</si>
  <si>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</si>
  <si>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</si>
  <si>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</si>
  <si>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</si>
  <si>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</si>
  <si>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</si>
  <si>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</si>
  <si>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</si>
  <si>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</si>
  <si>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</si>
  <si>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</si>
  <si>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</si>
  <si>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</si>
  <si>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</si>
  <si>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</si>
  <si>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</si>
  <si>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</si>
  <si>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</si>
  <si>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</si>
  <si>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</si>
  <si>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</si>
  <si>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</si>
  <si>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</si>
  <si>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</si>
  <si>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</si>
  <si>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</si>
  <si>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</si>
  <si>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</si>
  <si>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</si>
  <si>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</si>
  <si>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</si>
  <si>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</si>
  <si>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</si>
  <si>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</si>
  <si>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</si>
  <si>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</si>
  <si>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</si>
  <si>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</si>
  <si>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</si>
  <si>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</si>
  <si>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</si>
  <si>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</si>
  <si>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</si>
  <si>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</si>
  <si>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</si>
  <si>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</si>
  <si>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</si>
  <si>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</si>
  <si>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</si>
  <si>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</si>
  <si>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</si>
  <si>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</si>
  <si>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</si>
  <si>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</si>
  <si>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</si>
  <si>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</si>
  <si>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</si>
  <si>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</si>
  <si>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</si>
  <si>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</si>
  <si>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</si>
  <si>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</si>
  <si>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</si>
  <si>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</si>
  <si>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</si>
  <si>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</si>
  <si>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</si>
  <si>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</si>
  <si>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</si>
  <si>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</si>
  <si>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</si>
  <si>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</si>
  <si>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</si>
  <si>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</si>
  <si>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</si>
  <si>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</si>
  <si>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</si>
  <si>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</si>
  <si>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</si>
  <si>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</si>
  <si>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</si>
  <si>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</si>
  <si>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</si>
  <si>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</si>
  <si>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</si>
  <si>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</si>
  <si>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</si>
  <si>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</si>
  <si>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</si>
  <si>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</si>
  <si>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</si>
  <si>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</si>
  <si>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</si>
  <si>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</si>
  <si>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</si>
  <si>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</si>
  <si>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</si>
  <si>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</si>
  <si>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</si>
  <si>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</si>
  <si>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</si>
  <si>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</si>
  <si>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</si>
  <si>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</si>
  <si>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</si>
  <si>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</si>
  <si>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</si>
  <si>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</si>
  <si>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</si>
  <si>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</si>
  <si>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</si>
  <si>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</si>
  <si>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</si>
  <si>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</si>
  <si>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</si>
  <si>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</si>
  <si>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</si>
  <si>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</si>
  <si>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</si>
  <si>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</si>
  <si>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</si>
  <si>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</si>
  <si>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</si>
  <si>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</si>
  <si>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</si>
  <si>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</si>
  <si>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</si>
  <si>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</si>
  <si>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</si>
  <si>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</si>
  <si>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</si>
  <si>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</si>
  <si>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</si>
  <si>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</si>
  <si>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</si>
  <si>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</si>
  <si>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</si>
  <si>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</si>
  <si>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</si>
  <si>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</si>
  <si>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</si>
  <si>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</si>
  <si>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</si>
  <si>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</si>
  <si>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</si>
  <si>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</si>
  <si>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</si>
  <si>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</si>
  <si>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</si>
  <si>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</si>
  <si>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</si>
  <si>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</si>
  <si>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</si>
  <si>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</si>
  <si>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</si>
  <si>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</si>
  <si>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</si>
  <si>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</si>
  <si>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</si>
  <si>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</si>
  <si>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</si>
  <si>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</si>
  <si>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</si>
  <si>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</si>
  <si>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</si>
  <si>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</si>
  <si>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</si>
  <si>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</si>
  <si>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</si>
  <si>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</si>
  <si>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</si>
  <si>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</si>
  <si>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</si>
  <si>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</si>
  <si>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</si>
  <si>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</si>
  <si>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</si>
  <si>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</si>
  <si>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</si>
  <si>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</si>
  <si>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</si>
  <si>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</si>
  <si>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</si>
  <si>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</si>
  <si>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</si>
  <si>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</si>
  <si>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</si>
  <si>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</si>
  <si>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</si>
  <si>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</si>
  <si>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</si>
  <si>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</si>
  <si>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</si>
  <si>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</si>
  <si>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</si>
  <si>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</si>
  <si>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</si>
  <si>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</si>
  <si>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</si>
  <si>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</si>
  <si>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</si>
  <si>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</si>
  <si>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</si>
  <si>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</si>
  <si>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</si>
  <si>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</si>
  <si>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</si>
  <si>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</si>
  <si>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</si>
  <si>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</si>
  <si>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</si>
  <si>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</si>
  <si>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</si>
  <si>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</si>
  <si>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</si>
  <si>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</si>
  <si>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</si>
  <si>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</si>
  <si>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</si>
  <si>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</si>
  <si>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</si>
  <si>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</si>
  <si>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</si>
  <si>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</si>
  <si>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</si>
  <si>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</si>
  <si>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</si>
  <si>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</si>
  <si>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</si>
  <si>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</si>
  <si>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</si>
  <si>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</si>
  <si>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</si>
  <si>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</si>
  <si>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</si>
  <si>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</si>
  <si>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</si>
  <si>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</si>
  <si>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</si>
  <si>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</si>
  <si>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</si>
  <si>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</si>
  <si>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</si>
  <si>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</si>
  <si>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</si>
  <si>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</si>
  <si>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</si>
  <si>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</si>
  <si>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</si>
  <si>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</si>
  <si>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</si>
  <si>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</si>
  <si>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</si>
  <si>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</si>
  <si>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</si>
  <si>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</si>
  <si>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</si>
  <si>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</si>
  <si>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</si>
  <si>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</si>
  <si>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</si>
  <si>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</si>
  <si>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</si>
  <si>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</si>
  <si>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</si>
  <si>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</si>
  <si>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</si>
  <si>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</si>
  <si>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</si>
  <si>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</si>
  <si>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</si>
  <si>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</si>
  <si>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</si>
  <si>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</si>
  <si>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</si>
  <si>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</si>
  <si>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</si>
  <si>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</si>
  <si>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</si>
  <si>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</si>
  <si>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</si>
  <si>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</si>
  <si>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</si>
  <si>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</si>
  <si>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</si>
  <si>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</si>
  <si>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</si>
  <si>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</si>
  <si>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</si>
  <si>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</si>
  <si>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</si>
  <si>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</si>
  <si>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</si>
  <si>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</si>
  <si>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</si>
  <si>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</si>
  <si>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</si>
  <si>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</si>
  <si>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</si>
  <si>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</si>
  <si>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</si>
  <si>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</si>
  <si>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</si>
  <si>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</si>
  <si>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</si>
  <si>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</si>
  <si>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</si>
  <si>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</si>
  <si>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</si>
  <si>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</si>
  <si>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</si>
  <si>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</si>
  <si>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</si>
  <si>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</si>
  <si>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</si>
  <si>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</si>
  <si>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</si>
  <si>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</si>
  <si>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</si>
  <si>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</si>
  <si>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</si>
  <si>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</si>
  <si>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</si>
  <si>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</si>
  <si>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</si>
  <si>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</si>
  <si>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</si>
  <si>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</si>
  <si>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</si>
  <si>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</si>
  <si>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</si>
  <si>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</si>
  <si>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</si>
  <si>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</si>
  <si>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</si>
  <si>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</si>
  <si>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</si>
  <si>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</si>
  <si>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</si>
  <si>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</si>
  <si>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</si>
  <si>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</si>
  <si>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</si>
  <si>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</si>
  <si>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</si>
  <si>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</si>
  <si>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</si>
  <si>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</si>
  <si>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</si>
  <si>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</si>
  <si>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</si>
  <si>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</si>
  <si>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</si>
  <si>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</si>
  <si>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</si>
  <si>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</si>
  <si>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</si>
  <si>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</si>
  <si>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</si>
  <si>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</si>
  <si>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</si>
  <si>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</si>
  <si>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</si>
  <si>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</si>
  <si>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</si>
  <si>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</si>
  <si>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</si>
  <si>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</si>
  <si>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</si>
  <si>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</si>
  <si>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</si>
  <si>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</si>
  <si>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</si>
  <si>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</si>
  <si>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</si>
  <si>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</si>
  <si>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</si>
  <si>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</si>
  <si>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</si>
  <si>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</si>
  <si>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</si>
  <si>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</si>
  <si>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</si>
  <si>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</si>
  <si>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</si>
  <si>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</si>
  <si>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</si>
  <si>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</si>
  <si>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</si>
  <si>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</si>
  <si>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</si>
  <si>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</si>
  <si>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</si>
  <si>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</si>
  <si>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</si>
  <si>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</si>
  <si>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</si>
  <si>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</si>
  <si>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</si>
  <si>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</si>
  <si>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</si>
  <si>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</si>
  <si>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</si>
  <si>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</si>
  <si>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</si>
  <si>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</si>
  <si>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</si>
  <si>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</si>
  <si>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</si>
  <si>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</si>
  <si>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</si>
  <si>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</si>
  <si>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</si>
  <si>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</si>
  <si>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</si>
  <si>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</si>
  <si>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</si>
  <si>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</si>
  <si>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</si>
  <si>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</si>
  <si>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</si>
  <si>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</si>
  <si>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</si>
  <si>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</si>
  <si>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</si>
  <si>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</si>
  <si>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</si>
  <si>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</si>
  <si>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</si>
  <si>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</si>
  <si>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</si>
  <si>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</si>
  <si>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</si>
  <si>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</si>
  <si>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</si>
  <si>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</si>
  <si>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</si>
  <si>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</si>
  <si>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</si>
  <si>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</si>
  <si>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</si>
  <si>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</si>
  <si>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</si>
  <si>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</si>
  <si>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</si>
  <si>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</si>
  <si>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</si>
  <si>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</si>
  <si>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</si>
  <si>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</si>
  <si>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</si>
  <si>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</si>
  <si>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</si>
  <si>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</si>
  <si>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</si>
  <si>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</si>
  <si>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</si>
  <si>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</si>
  <si>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</si>
  <si>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</si>
  <si>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</si>
  <si>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</si>
  <si>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</si>
  <si>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</si>
  <si>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</si>
  <si>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</si>
  <si>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</si>
  <si>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</si>
  <si>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</si>
  <si>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</si>
  <si>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</si>
  <si>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</si>
  <si>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</si>
  <si>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</si>
  <si>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</si>
  <si>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</si>
  <si>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</si>
  <si>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</si>
  <si>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</si>
  <si>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</si>
  <si>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</si>
  <si>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</si>
  <si>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</si>
  <si>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</si>
  <si>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</si>
  <si>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</si>
  <si>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</si>
  <si>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</si>
  <si>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</si>
  <si>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</si>
  <si>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</si>
  <si>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</si>
  <si>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</si>
  <si>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</si>
  <si>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</si>
  <si>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</si>
  <si>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</si>
  <si>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</si>
  <si>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</si>
  <si>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</si>
  <si>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</si>
  <si>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</si>
  <si>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</si>
  <si>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</si>
  <si>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</si>
  <si>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</si>
  <si>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</si>
  <si>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</si>
  <si>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</si>
  <si>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</si>
  <si>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</si>
  <si>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</si>
  <si>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</si>
  <si>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</si>
  <si>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</si>
  <si>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</si>
  <si>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</si>
  <si>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</si>
  <si>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</si>
  <si>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</si>
  <si>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</si>
  <si>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</si>
  <si>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</si>
  <si>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</si>
  <si>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</si>
  <si>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</si>
  <si>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</si>
  <si>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</si>
  <si>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</si>
  <si>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</si>
  <si>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</si>
  <si>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</si>
  <si>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</si>
  <si>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</si>
  <si>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</si>
  <si>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</si>
  <si>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</si>
  <si>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</si>
  <si>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</si>
  <si>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</si>
  <si>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</si>
  <si>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</si>
  <si>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</si>
  <si>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</si>
  <si>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</si>
  <si>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</si>
  <si>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</si>
  <si>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</si>
  <si>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</si>
  <si>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</si>
  <si>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</si>
  <si>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</si>
  <si>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</si>
  <si>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</si>
  <si>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</si>
  <si>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</si>
  <si>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</si>
  <si>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</si>
  <si>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</si>
  <si>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</si>
  <si>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</si>
  <si>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</si>
  <si>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</si>
  <si>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</si>
  <si>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</si>
  <si>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</si>
  <si>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</si>
  <si>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</si>
  <si>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</si>
  <si>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</si>
  <si>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</si>
  <si>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</si>
  <si>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</si>
  <si>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</si>
  <si>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</si>
  <si>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</si>
  <si>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</si>
  <si>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</si>
  <si>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</si>
  <si>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</si>
  <si>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</si>
  <si>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</si>
  <si>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</si>
  <si>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</si>
  <si>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</si>
  <si>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</si>
  <si>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</si>
  <si>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</si>
  <si>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</si>
  <si>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</si>
  <si>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</si>
  <si>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</si>
  <si>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</si>
  <si>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</si>
  <si>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</si>
  <si>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</si>
  <si>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</si>
  <si>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</si>
  <si>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</si>
  <si>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</si>
  <si>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</si>
  <si>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</si>
  <si>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</si>
  <si>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</si>
  <si>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</si>
  <si>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</si>
  <si>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</si>
  <si>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</si>
  <si>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</si>
  <si>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</si>
  <si>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</si>
  <si>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</si>
  <si>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</si>
  <si>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</si>
  <si>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</si>
  <si>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</si>
  <si>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</si>
  <si>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</si>
  <si>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</si>
  <si>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</si>
  <si>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</si>
  <si>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</si>
  <si>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</si>
  <si>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</si>
  <si>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</si>
  <si>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</si>
  <si>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</si>
  <si>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</si>
  <si>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</si>
  <si>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</si>
  <si>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</si>
  <si>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</si>
  <si>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</si>
  <si>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</si>
  <si>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</si>
  <si>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</si>
  <si>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</si>
  <si>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</si>
  <si>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</si>
  <si>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</si>
  <si>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</si>
  <si>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</si>
  <si>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</si>
  <si>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</si>
  <si>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</si>
  <si>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</si>
  <si>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</si>
  <si>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</si>
  <si>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</si>
  <si>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</si>
  <si>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</si>
  <si>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</si>
  <si>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</si>
  <si>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</si>
  <si>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</si>
  <si>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</si>
  <si>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</si>
  <si>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</si>
  <si>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</si>
  <si>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</si>
  <si>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</si>
  <si>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</si>
  <si>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</si>
  <si>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</si>
  <si>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</si>
  <si>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</si>
  <si>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</si>
  <si>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</si>
  <si>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</si>
  <si>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</si>
  <si>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</si>
  <si>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</si>
  <si>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</si>
  <si>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</si>
  <si>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</si>
  <si>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</si>
  <si>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</si>
  <si>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</si>
  <si>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</si>
  <si>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</si>
  <si>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</si>
  <si>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</si>
  <si>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</si>
  <si>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</si>
  <si>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</si>
  <si>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</si>
  <si>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</si>
  <si>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</si>
  <si>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</si>
  <si>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</si>
  <si>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</si>
  <si>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</si>
  <si>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</si>
  <si>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</si>
  <si>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</si>
  <si>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</si>
  <si>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</si>
  <si>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</si>
  <si>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</si>
  <si>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</si>
  <si>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</si>
  <si>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</si>
  <si>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</si>
  <si>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</si>
  <si>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</si>
  <si>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</si>
  <si>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</si>
  <si>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</si>
  <si>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</si>
  <si>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</si>
  <si>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</si>
  <si>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</si>
  <si>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</si>
  <si>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</si>
  <si>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</si>
  <si>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</si>
  <si>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</si>
  <si>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</si>
  <si>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</si>
  <si>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</si>
  <si>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</si>
  <si>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</si>
  <si>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</si>
  <si>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</si>
  <si>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</si>
  <si>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</si>
  <si>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</si>
  <si>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</si>
  <si>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</si>
  <si>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</si>
  <si>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</si>
  <si>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</si>
  <si>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</si>
  <si>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</si>
  <si>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</si>
  <si>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</si>
  <si>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</si>
  <si>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</si>
  <si>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</si>
  <si>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</si>
  <si>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</si>
  <si>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</si>
  <si>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</si>
  <si>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</si>
  <si>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</si>
  <si>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</si>
  <si>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</si>
  <si>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</si>
  <si>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</si>
  <si>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</si>
  <si>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</si>
  <si>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</si>
  <si>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</si>
  <si>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</si>
  <si>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</si>
  <si>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</si>
  <si>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</si>
  <si>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</si>
  <si>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</si>
  <si>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</si>
  <si>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</si>
  <si>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</si>
  <si>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</si>
  <si>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</si>
  <si>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</si>
  <si>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</si>
  <si>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</si>
  <si>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</si>
  <si>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</si>
  <si>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</si>
  <si>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</si>
  <si>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</si>
  <si>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</si>
  <si>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</si>
  <si>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</si>
  <si>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</si>
  <si>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</si>
  <si>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</si>
  <si>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</si>
  <si>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</si>
  <si>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</si>
  <si>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</si>
  <si>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</si>
  <si>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</si>
  <si>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</si>
  <si>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</si>
  <si>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</si>
  <si>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</si>
  <si>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</si>
  <si>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</si>
  <si>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</si>
  <si>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</si>
  <si>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</si>
  <si>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</si>
  <si>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</si>
  <si>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</si>
  <si>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</si>
  <si>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</si>
  <si>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</si>
  <si>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</si>
  <si>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</si>
  <si>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</si>
  <si>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</si>
  <si>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</si>
  <si>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</si>
  <si>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</si>
  <si>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</si>
  <si>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</si>
  <si>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</si>
  <si>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</si>
  <si>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</si>
  <si>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</si>
  <si>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</si>
  <si>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</si>
  <si>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</si>
  <si>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</si>
  <si>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</si>
  <si>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</si>
  <si>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</si>
  <si>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</si>
  <si>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</si>
  <si>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</si>
  <si>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</si>
  <si>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</si>
  <si>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</si>
  <si>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</si>
  <si>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</si>
  <si>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</si>
  <si>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</si>
  <si>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</si>
  <si>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</si>
  <si>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</si>
  <si>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</si>
  <si>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</si>
  <si>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</si>
  <si>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</si>
  <si>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</si>
  <si>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</si>
  <si>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</si>
  <si>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</si>
  <si>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</si>
  <si>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</si>
  <si>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</si>
  <si>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</si>
  <si>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</si>
  <si>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</si>
  <si>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</si>
  <si>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</si>
  <si>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</si>
  <si>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</si>
  <si>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</si>
  <si>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</si>
  <si>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</si>
  <si>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</si>
  <si>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</si>
  <si>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</si>
  <si>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</si>
  <si>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</si>
  <si>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</si>
  <si>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</si>
  <si>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</si>
  <si>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</si>
  <si>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</si>
  <si>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</si>
  <si>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</si>
  <si>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</si>
  <si>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</si>
  <si>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</si>
  <si>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</si>
  <si>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</si>
  <si>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</si>
  <si>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</si>
  <si>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</si>
  <si>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</si>
  <si>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</si>
  <si>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</si>
  <si>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</si>
  <si>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</si>
  <si>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</si>
  <si>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</si>
  <si>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</si>
  <si>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</si>
  <si>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</si>
  <si>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</si>
  <si>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</si>
  <si>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</si>
  <si>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</si>
  <si>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</si>
  <si>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</si>
  <si>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</si>
  <si>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</si>
  <si>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</si>
  <si>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</si>
  <si>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</si>
  <si>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</si>
  <si>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</si>
  <si>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</si>
  <si>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</si>
  <si>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</si>
  <si>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</si>
  <si>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</si>
  <si>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</si>
  <si>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</si>
  <si>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</si>
  <si>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</si>
  <si>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</si>
  <si>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</si>
  <si>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</si>
  <si>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</si>
  <si>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</si>
  <si>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</si>
  <si>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</si>
  <si>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</si>
  <si>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</si>
  <si>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</si>
  <si>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</si>
  <si>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</si>
  <si>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</si>
  <si>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</si>
  <si>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</si>
  <si>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</si>
  <si>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</si>
  <si>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</si>
  <si>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</si>
  <si>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</si>
  <si>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</si>
  <si>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</si>
  <si>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</si>
  <si>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</si>
  <si>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</si>
  <si>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</si>
  <si>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</si>
  <si>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</si>
  <si>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</si>
  <si>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</si>
  <si>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</si>
  <si>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</si>
  <si>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</si>
  <si>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</si>
  <si>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</si>
  <si>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</si>
  <si>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</si>
  <si>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</si>
  <si>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</si>
  <si>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</si>
  <si>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</si>
  <si>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</si>
  <si>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</si>
  <si>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</si>
  <si>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</si>
  <si>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</si>
  <si>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</si>
  <si>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</si>
  <si>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</si>
  <si>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</si>
  <si>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</si>
  <si>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</si>
  <si>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</si>
  <si>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</si>
  <si>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</si>
  <si>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</si>
  <si>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</si>
  <si>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</si>
  <si>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</si>
  <si>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</si>
  <si>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</si>
  <si>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</si>
  <si>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</si>
  <si>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</si>
  <si>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</si>
  <si>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</si>
  <si>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</si>
  <si>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</si>
  <si>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</si>
  <si>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</si>
  <si>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</si>
  <si>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</si>
  <si>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</si>
  <si>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</si>
  <si>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</si>
  <si>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</si>
  <si>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</si>
  <si>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</si>
  <si>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</si>
  <si>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</si>
  <si>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</si>
  <si>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</si>
  <si>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</si>
  <si>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</si>
  <si>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</si>
  <si>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</si>
  <si>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</si>
  <si>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</si>
  <si>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</si>
  <si>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</si>
  <si>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</si>
  <si>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</si>
  <si>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</si>
  <si>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</si>
  <si>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</si>
  <si>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</si>
  <si>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</si>
  <si>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</si>
  <si>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</si>
  <si>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</si>
  <si>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</si>
  <si>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</si>
  <si>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</si>
  <si>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</si>
  <si>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</si>
  <si>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</si>
  <si>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</si>
  <si>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</si>
  <si>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</si>
  <si>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</si>
  <si>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</si>
  <si>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</si>
  <si>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</si>
  <si>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</si>
  <si>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</si>
  <si>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</si>
  <si>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</si>
  <si>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</si>
  <si>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</si>
  <si>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</si>
  <si>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</si>
  <si>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</si>
  <si>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</si>
  <si>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</si>
  <si>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</si>
  <si>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</si>
  <si>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</si>
  <si>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</si>
  <si>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</si>
  <si>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</si>
  <si>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</si>
  <si>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</si>
  <si>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</si>
  <si>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</si>
  <si>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</si>
  <si>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</si>
  <si>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</si>
  <si>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</si>
  <si>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</si>
  <si>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</si>
  <si>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</si>
  <si>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</si>
  <si>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</si>
  <si>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</si>
  <si>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</si>
  <si>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</si>
  <si>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</si>
  <si>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</si>
  <si>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</si>
  <si>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</si>
  <si>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</si>
  <si>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</si>
  <si>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</si>
  <si>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</si>
  <si>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</si>
  <si>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</si>
  <si>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</si>
  <si>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</si>
  <si>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</si>
  <si>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</si>
  <si>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</si>
  <si>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</si>
  <si>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</si>
  <si>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</si>
  <si>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</si>
  <si>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</si>
  <si>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</si>
  <si>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</si>
  <si>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</si>
  <si>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</si>
  <si>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</si>
  <si>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</si>
  <si>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</si>
  <si>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</si>
  <si>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</si>
  <si>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</si>
  <si>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</si>
  <si>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</si>
  <si>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</si>
  <si>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</si>
  <si>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</si>
  <si>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</si>
  <si>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</si>
  <si>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</si>
  <si>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</si>
  <si>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</si>
  <si>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</si>
  <si>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</si>
  <si>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</si>
  <si>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</si>
  <si>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</si>
  <si>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</si>
  <si>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</si>
  <si>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</si>
  <si>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</si>
  <si>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</si>
  <si>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</si>
  <si>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</si>
  <si>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</si>
  <si>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</si>
  <si>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</si>
  <si>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</si>
  <si>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</si>
  <si>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</si>
  <si>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</si>
  <si>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</si>
  <si>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</si>
  <si>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</si>
  <si>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</si>
  <si>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</si>
  <si>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</si>
  <si>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</si>
  <si>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</si>
  <si>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</si>
  <si>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</si>
  <si>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</si>
  <si>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</si>
  <si>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</si>
  <si>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</si>
  <si>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</si>
  <si>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</si>
  <si>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</si>
  <si>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</si>
  <si>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</si>
  <si>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</si>
  <si>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</si>
  <si>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</si>
  <si>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</si>
  <si>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</si>
  <si>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</si>
  <si>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</si>
  <si>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</si>
  <si>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</si>
  <si>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</si>
  <si>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</si>
  <si>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</si>
  <si>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</si>
  <si>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</si>
  <si>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</si>
  <si>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</si>
  <si>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</si>
  <si>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</si>
  <si>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</si>
  <si>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</si>
  <si>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</si>
  <si>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</si>
  <si>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</si>
  <si>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</si>
  <si>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</si>
  <si>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</si>
  <si>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</si>
  <si>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</si>
  <si>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</si>
  <si>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</si>
  <si>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</si>
  <si>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</si>
  <si>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</si>
  <si>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</si>
  <si>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</si>
  <si>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</si>
  <si>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</si>
  <si>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</si>
  <si>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</si>
  <si>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</si>
  <si>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</si>
  <si>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</si>
  <si>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</si>
  <si>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</si>
  <si>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</si>
  <si>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</si>
  <si>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</si>
  <si>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</si>
  <si>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</si>
  <si>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</si>
  <si>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</si>
  <si>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</si>
  <si>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</si>
  <si>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</si>
  <si>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</si>
  <si>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</si>
  <si>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</si>
  <si>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</si>
  <si>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</si>
  <si>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</si>
  <si>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</si>
  <si>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</si>
  <si>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</si>
  <si>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</si>
  <si>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</si>
  <si>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</si>
  <si>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</si>
  <si>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</si>
  <si>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</si>
  <si>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</si>
  <si>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</si>
  <si>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</si>
  <si>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</si>
  <si>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</si>
  <si>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</si>
  <si>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</si>
  <si>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</si>
  <si>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</si>
  <si>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</si>
  <si>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</si>
  <si>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</si>
  <si>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</si>
  <si>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</si>
  <si>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</si>
  <si>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</si>
  <si>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</si>
  <si>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</si>
  <si>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</si>
  <si>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</si>
  <si>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</si>
  <si>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</si>
  <si>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</si>
  <si>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</si>
  <si>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</si>
  <si>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</si>
  <si>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</si>
  <si>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</si>
  <si>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</si>
  <si>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</si>
  <si>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</si>
  <si>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</si>
  <si>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</si>
  <si>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</si>
  <si>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</si>
  <si>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</si>
  <si>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</si>
  <si>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</si>
  <si>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</si>
  <si>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</si>
  <si>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</si>
  <si>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</si>
  <si>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</si>
  <si>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</si>
  <si>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</si>
  <si>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</si>
  <si>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</si>
  <si>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</si>
  <si>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</si>
  <si>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</si>
  <si>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</si>
  <si>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</si>
  <si>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</si>
  <si>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</si>
  <si>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</si>
  <si>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</si>
  <si>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</si>
  <si>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</si>
  <si>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</si>
  <si>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</si>
  <si>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</si>
  <si>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</si>
  <si>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</si>
  <si>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</si>
  <si>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</si>
  <si>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</si>
  <si>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</si>
  <si>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</si>
  <si>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</si>
  <si>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</si>
  <si>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</si>
  <si>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</si>
  <si>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</si>
  <si>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</si>
  <si>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</si>
  <si>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</si>
  <si>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</si>
  <si>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</si>
  <si>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</si>
  <si>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</si>
  <si>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</si>
  <si>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</si>
  <si>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</si>
  <si>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</si>
  <si>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</si>
  <si>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</si>
  <si>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</si>
  <si>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</si>
  <si>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</si>
  <si>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</si>
  <si>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</si>
  <si>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</si>
  <si>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</si>
  <si>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</si>
  <si>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</si>
  <si>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</si>
  <si>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</si>
  <si>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</si>
  <si>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</si>
  <si>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</si>
  <si>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</si>
  <si>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</si>
  <si>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</si>
  <si>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</si>
  <si>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</si>
  <si>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</si>
  <si>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</si>
  <si>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</si>
  <si>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</si>
  <si>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</si>
  <si>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</si>
  <si>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</si>
  <si>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</si>
  <si>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</si>
  <si>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</si>
  <si>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</si>
  <si>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</si>
  <si>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</si>
  <si>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</si>
  <si>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</si>
  <si>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</si>
  <si>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</si>
  <si>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</si>
  <si>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</si>
  <si>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</si>
  <si>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</si>
  <si>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</si>
  <si>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</si>
  <si>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</si>
  <si>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</si>
  <si>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</si>
  <si>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</si>
  <si>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</si>
  <si>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</si>
  <si>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</si>
  <si>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</si>
  <si>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</si>
  <si>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</si>
  <si>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</si>
  <si>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</si>
  <si>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</si>
  <si>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</si>
  <si>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</si>
  <si>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</si>
  <si>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</si>
  <si>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</si>
  <si>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</si>
  <si>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</si>
  <si>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</si>
  <si>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</si>
  <si>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</si>
  <si>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</si>
  <si>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</si>
  <si>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</si>
  <si>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</si>
  <si>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</si>
  <si>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</si>
  <si>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</si>
  <si>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</si>
  <si>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</si>
  <si>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</si>
  <si>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</si>
  <si>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</si>
  <si>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</si>
  <si>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</si>
  <si>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</si>
  <si>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</si>
  <si>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</si>
  <si>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</si>
  <si>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</si>
  <si>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</si>
  <si>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</si>
  <si>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</si>
  <si>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</si>
  <si>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</si>
  <si>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</si>
  <si>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</si>
  <si>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</si>
  <si>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</si>
  <si>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</si>
  <si>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</si>
  <si>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</si>
  <si>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</si>
  <si>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</si>
  <si>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</si>
  <si>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</si>
  <si>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</si>
  <si>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</si>
  <si>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</si>
  <si>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</si>
  <si>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</si>
  <si>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</si>
  <si>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</si>
  <si>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</si>
  <si>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</si>
  <si>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</si>
  <si>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</si>
  <si>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</si>
  <si>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</si>
  <si>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</si>
  <si>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</si>
  <si>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</si>
  <si>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</si>
  <si>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</si>
  <si>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</si>
  <si>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</si>
  <si>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</si>
  <si>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</si>
  <si>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</si>
  <si>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</si>
  <si>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</si>
  <si>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</si>
  <si>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</si>
  <si>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</si>
  <si>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</si>
  <si>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</si>
  <si>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</si>
  <si>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</si>
  <si>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</si>
  <si>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</si>
  <si>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</si>
  <si>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</si>
  <si>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</si>
  <si>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</si>
  <si>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</si>
  <si>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</si>
  <si>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</si>
  <si>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</si>
  <si>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</si>
  <si>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</si>
  <si>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</si>
  <si>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</si>
  <si>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</si>
  <si>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</si>
  <si>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</si>
  <si>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</si>
  <si>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</si>
  <si>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</si>
  <si>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</si>
  <si>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</si>
  <si>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</si>
  <si>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</si>
  <si>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</si>
  <si>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</si>
  <si>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</si>
  <si>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</si>
  <si>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</si>
  <si>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</si>
  <si>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</si>
  <si>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</si>
  <si>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</si>
  <si>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</si>
  <si>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</si>
  <si>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</si>
  <si>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</si>
  <si>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</si>
  <si>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</si>
  <si>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</si>
  <si>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</si>
  <si>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</si>
  <si>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</si>
  <si>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</si>
  <si>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</si>
  <si>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</si>
  <si>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</si>
  <si>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</si>
  <si>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</si>
  <si>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</si>
  <si>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</si>
  <si>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</si>
  <si>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</si>
  <si>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</si>
  <si>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</si>
  <si>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</si>
  <si>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</si>
  <si>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</si>
  <si>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</si>
  <si>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</si>
  <si>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</si>
  <si>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</si>
  <si>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</si>
  <si>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</si>
  <si>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</si>
  <si>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</si>
  <si>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</si>
  <si>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</si>
  <si>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</si>
  <si>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</si>
  <si>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</si>
  <si>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</si>
  <si>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</si>
  <si>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</si>
  <si>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</si>
  <si>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</si>
  <si>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</si>
  <si>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</si>
  <si>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</si>
  <si>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</si>
  <si>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</si>
  <si>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</si>
  <si>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</si>
  <si>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</si>
  <si>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</si>
  <si>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</si>
  <si>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</si>
  <si>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</si>
  <si>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</si>
  <si>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</si>
  <si>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</si>
  <si>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</si>
  <si>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</si>
  <si>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</si>
  <si>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</si>
  <si>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</si>
  <si>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</si>
  <si>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</si>
  <si>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</si>
  <si>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</si>
  <si>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</si>
  <si>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</si>
  <si>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</si>
  <si>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</si>
  <si>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</si>
  <si>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</si>
  <si>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</si>
  <si>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</si>
  <si>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</si>
  <si>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</si>
  <si>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</si>
  <si>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</si>
  <si>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</si>
  <si>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</si>
  <si>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</si>
  <si>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</si>
  <si>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</si>
  <si>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</si>
  <si>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</si>
  <si>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</si>
  <si>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</si>
  <si>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</si>
  <si>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</si>
  <si>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</si>
  <si>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</si>
  <si>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</si>
  <si>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</si>
  <si>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</si>
  <si>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</si>
  <si>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</si>
  <si>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</si>
  <si>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</si>
  <si>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</si>
  <si>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</si>
  <si>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</si>
  <si>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</si>
  <si>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</si>
  <si>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</si>
  <si>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</si>
  <si>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</si>
  <si>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</si>
  <si>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</si>
  <si>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</si>
  <si>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</si>
  <si>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</si>
  <si>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</si>
  <si>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</si>
  <si>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</si>
  <si>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</si>
  <si>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</si>
  <si>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</si>
  <si>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</si>
  <si>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</si>
  <si>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</si>
  <si>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</si>
  <si>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</si>
  <si>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</si>
  <si>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</si>
  <si>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</si>
  <si>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</si>
  <si>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</si>
  <si>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</si>
  <si>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</si>
  <si>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</si>
  <si>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</si>
  <si>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</si>
  <si>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</si>
  <si>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</si>
  <si>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</si>
  <si>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</si>
  <si>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</si>
  <si>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</si>
  <si>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</si>
  <si>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</si>
  <si>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</si>
  <si>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</si>
  <si>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</si>
  <si>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</si>
  <si>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</si>
  <si>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</si>
  <si>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</si>
  <si>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</si>
  <si>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</si>
  <si>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</si>
  <si>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</si>
  <si>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</si>
  <si>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</si>
  <si>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</si>
  <si>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</si>
  <si>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</si>
  <si>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</si>
  <si>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</si>
  <si>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</si>
  <si>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</si>
  <si>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</si>
  <si>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</si>
  <si>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</si>
  <si>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</si>
  <si>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</si>
  <si>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</si>
  <si>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</si>
  <si>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</si>
  <si>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</si>
  <si>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</si>
  <si>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</si>
  <si>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</si>
  <si>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</si>
  <si>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</si>
  <si>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</si>
  <si>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</si>
  <si>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</si>
  <si>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</si>
  <si>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</si>
  <si>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</si>
  <si>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</si>
  <si>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</si>
  <si>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</si>
  <si>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</si>
  <si>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</si>
  <si>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</si>
  <si>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</si>
  <si>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</si>
  <si>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</si>
  <si>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</si>
  <si>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</si>
  <si>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</si>
  <si>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</si>
  <si>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</si>
  <si>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</si>
  <si>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</si>
  <si>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</si>
  <si>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</si>
  <si>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</si>
  <si>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</si>
  <si>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</si>
  <si>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</si>
  <si>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</si>
  <si>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</si>
  <si>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</si>
  <si>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</si>
  <si>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</si>
  <si>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</si>
  <si>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</si>
  <si>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</si>
  <si>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</si>
  <si>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</si>
  <si>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</si>
  <si>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</si>
  <si>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</si>
  <si>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</si>
  <si>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</si>
  <si>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</si>
  <si>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</si>
  <si>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</si>
  <si>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</si>
  <si>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</si>
  <si>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</si>
  <si>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</si>
  <si>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</si>
  <si>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</si>
  <si>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</si>
  <si>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</si>
  <si>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</si>
  <si>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</si>
  <si>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</si>
  <si>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</si>
  <si>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</si>
  <si>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</si>
  <si>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</si>
  <si>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</si>
  <si>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</si>
  <si>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</si>
  <si>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</si>
  <si>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</si>
  <si>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</si>
  <si>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</si>
  <si>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</si>
  <si>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</si>
  <si>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</si>
  <si>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</si>
  <si>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</si>
  <si>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</si>
  <si>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</si>
  <si>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</si>
  <si>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</si>
  <si>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</si>
  <si>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</si>
  <si>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</si>
  <si>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</si>
  <si>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</si>
  <si>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</si>
  <si>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</si>
  <si>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</si>
  <si>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</si>
  <si>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</si>
  <si>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</si>
  <si>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</si>
  <si>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</si>
  <si>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</si>
  <si>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</si>
  <si>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</si>
  <si>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</si>
  <si>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</si>
  <si>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</si>
  <si>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</si>
  <si>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</si>
  <si>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</si>
  <si>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</si>
  <si>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</si>
  <si>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</si>
  <si>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</si>
  <si>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</si>
  <si>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</si>
  <si>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</si>
  <si>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</si>
  <si>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</si>
  <si>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</si>
  <si>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</si>
  <si>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</si>
  <si>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</si>
  <si>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</si>
  <si>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</si>
  <si>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</si>
  <si>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</si>
  <si>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</si>
  <si>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</si>
  <si>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</si>
  <si>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</si>
  <si>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</si>
  <si>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</si>
  <si>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</si>
  <si>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</si>
  <si>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</si>
  <si>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</si>
  <si>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</si>
  <si>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</si>
  <si>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</si>
  <si>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</si>
  <si>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</si>
  <si>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</si>
  <si>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</si>
  <si>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</si>
  <si>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</si>
  <si>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</si>
  <si>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</si>
  <si>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</si>
  <si>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</si>
  <si>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</si>
  <si>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</si>
  <si>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</si>
  <si>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</si>
  <si>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</si>
  <si>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</si>
  <si>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</si>
  <si>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</si>
  <si>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</si>
  <si>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</si>
  <si>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</si>
  <si>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</si>
  <si>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</si>
  <si>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</si>
  <si>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</si>
  <si>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</si>
  <si>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</si>
  <si>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</si>
  <si>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</si>
  <si>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</si>
  <si>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</si>
  <si>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</si>
  <si>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</si>
  <si>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</si>
  <si>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</si>
  <si>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</si>
  <si>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</si>
  <si>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</si>
  <si>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</si>
  <si>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</si>
  <si>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</si>
  <si>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</si>
  <si>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</si>
  <si>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</si>
  <si>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</si>
  <si>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</si>
  <si>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</si>
  <si>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</si>
  <si>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</si>
  <si>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</si>
  <si>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</si>
  <si>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</si>
  <si>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</si>
  <si>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</si>
  <si>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</si>
  <si>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</si>
  <si>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</si>
  <si>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</si>
  <si>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</si>
  <si>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</si>
  <si>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</si>
  <si>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</si>
  <si>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</si>
  <si>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</si>
  <si>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</si>
  <si>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</si>
  <si>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</si>
  <si>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</si>
  <si>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</si>
  <si>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</si>
  <si>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</si>
  <si>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</si>
  <si>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</si>
  <si>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</si>
  <si>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</si>
  <si>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</si>
  <si>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</si>
  <si>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</si>
  <si>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</si>
  <si>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</si>
  <si>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</si>
  <si>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</si>
  <si>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</si>
  <si>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</si>
  <si>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</si>
  <si>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</si>
  <si>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</si>
  <si>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</si>
  <si>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</si>
  <si>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</si>
  <si>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</si>
  <si>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</si>
  <si>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</si>
  <si>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</si>
  <si>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</si>
  <si>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</si>
  <si>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</si>
  <si>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</si>
  <si>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</si>
  <si>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</si>
  <si>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</si>
  <si>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</si>
  <si>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</si>
  <si>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</si>
  <si>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</si>
  <si>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</si>
  <si>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</si>
  <si>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</si>
  <si>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</si>
  <si>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</si>
  <si>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</si>
  <si>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</si>
  <si>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</si>
  <si>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</si>
  <si>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</si>
  <si>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</si>
  <si>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</si>
  <si>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</si>
  <si>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</si>
  <si>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</si>
  <si>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</si>
  <si>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</si>
  <si>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</si>
  <si>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</si>
  <si>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</si>
  <si>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</si>
  <si>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</si>
  <si>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</si>
  <si>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</si>
  <si>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</si>
  <si>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</si>
  <si>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</si>
  <si>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</si>
  <si>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</si>
  <si>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</si>
  <si>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</si>
  <si>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</si>
  <si>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</si>
  <si>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</si>
  <si>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</si>
  <si>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</si>
  <si>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</si>
  <si>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</si>
  <si>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</si>
  <si>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</si>
  <si>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</si>
  <si>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</si>
  <si>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</si>
  <si>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</si>
  <si>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</si>
  <si>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</si>
  <si>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</si>
  <si>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</si>
  <si>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</si>
  <si>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</si>
  <si>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</si>
  <si>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</si>
  <si>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</si>
  <si>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</si>
  <si>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</si>
  <si>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</si>
  <si>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</si>
  <si>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</si>
  <si>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</si>
  <si>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</si>
  <si>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</si>
  <si>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</si>
  <si>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</si>
  <si>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</si>
  <si>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</si>
  <si>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</si>
  <si>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</si>
  <si>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</si>
  <si>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</si>
  <si>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</si>
  <si>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</si>
  <si>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</si>
  <si>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</si>
  <si>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</si>
  <si>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</si>
  <si>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</si>
  <si>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</si>
  <si>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</si>
  <si>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</si>
  <si>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</si>
  <si>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</si>
  <si>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</si>
  <si>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</si>
  <si>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</si>
  <si>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</si>
  <si>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</si>
  <si>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</si>
  <si>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</si>
  <si>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</si>
  <si>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</si>
  <si>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</si>
  <si>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</si>
  <si>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</si>
  <si>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</si>
  <si>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</si>
  <si>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</si>
  <si>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</si>
  <si>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</si>
  <si>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</si>
  <si>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</si>
  <si>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</si>
  <si>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</si>
  <si>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</si>
  <si>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</si>
  <si>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</si>
  <si>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</si>
  <si>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</si>
  <si>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</si>
  <si>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</si>
  <si>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</si>
  <si>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</si>
  <si>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</si>
  <si>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</si>
  <si>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</si>
  <si>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</si>
  <si>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</si>
  <si>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</si>
  <si>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</si>
  <si>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</si>
  <si>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</si>
  <si>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</si>
  <si>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</si>
  <si>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</si>
  <si>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</si>
  <si>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</si>
  <si>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</si>
  <si>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</si>
  <si>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</si>
  <si>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</si>
  <si>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</si>
  <si>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</si>
  <si>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</si>
  <si>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</si>
  <si>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</si>
  <si>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</si>
  <si>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</si>
  <si>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</si>
  <si>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</si>
  <si>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</si>
  <si>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</si>
  <si>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</si>
  <si>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</si>
  <si>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</si>
  <si>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</si>
  <si>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</si>
  <si>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</si>
  <si>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</si>
  <si>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</si>
  <si>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</si>
  <si>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</si>
  <si>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</si>
  <si>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</si>
  <si>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</si>
  <si>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</si>
  <si>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</si>
  <si>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</si>
  <si>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</si>
  <si>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</si>
  <si>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</si>
  <si>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</si>
  <si>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</si>
  <si>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</si>
  <si>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</si>
  <si>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</si>
  <si>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</si>
  <si>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</si>
  <si>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</si>
  <si>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</si>
  <si>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</si>
  <si>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</si>
  <si>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</si>
  <si>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</si>
  <si>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</si>
  <si>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</si>
  <si>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</si>
  <si>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</si>
  <si>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</si>
  <si>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</si>
  <si>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</si>
  <si>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</si>
  <si>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</si>
  <si>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</si>
  <si>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</si>
  <si>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</si>
  <si>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</si>
  <si>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</si>
  <si>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</si>
  <si>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</si>
  <si>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</si>
  <si>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</si>
  <si>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Commonwealth Development Corporation of America</t>
  </si>
  <si>
    <t>Sean Brady</t>
  </si>
  <si>
    <t>s.brady@commonwealthco.net</t>
  </si>
  <si>
    <t>Vice President of Development</t>
  </si>
  <si>
    <t>Dan Kroetz</t>
  </si>
  <si>
    <t>d.kroetz@commonwealthco.net</t>
  </si>
  <si>
    <t>Senior Vice President</t>
  </si>
  <si>
    <t>Fairhaven on Campbellton</t>
  </si>
  <si>
    <t>City Limits</t>
  </si>
  <si>
    <t>2023PA-066</t>
  </si>
  <si>
    <t>Not applicable.</t>
  </si>
  <si>
    <t>Atlanta Housing Authority</t>
  </si>
  <si>
    <t>Electric Heat Pump</t>
  </si>
  <si>
    <t>Fairhaven on Campbellton is located within the city limits of City of Atlanta.  Atlanta Housing Authority maintains the utility allowance within the City of Atlanta and Fulton County.  The most current utility allowance available from Atlanta Housing Authority was used in this application.</t>
  </si>
  <si>
    <t>Novogradac &amp; Company LLP</t>
  </si>
  <si>
    <t>High-Rise Elevator</t>
  </si>
  <si>
    <t>40% of Units at 60% of AMI</t>
  </si>
  <si>
    <t>N/a</t>
  </si>
  <si>
    <t>Development site is accessible by two existing public roads: Dodson Drive and Campbellton Road.  Site access will be off of Campbellton Road.</t>
  </si>
  <si>
    <t>Georgia Power</t>
  </si>
  <si>
    <t>Not Applicable</t>
  </si>
  <si>
    <t>Yes - see Comment</t>
  </si>
  <si>
    <t>Applicant was determined "Qualified" in 2023 for Fairhaven Green, the former name of the proposed development Fairhaven on Campbellton.  There have been no changes in the Project Team since 2023 Pre-Application submission.  Applicant was also deemed Qualified in 2022-2019.</t>
  </si>
  <si>
    <t>Agree</t>
  </si>
  <si>
    <t>DDA/QCT</t>
  </si>
  <si>
    <t>Redstone Equity Partners</t>
  </si>
  <si>
    <t>Legacy Bank - Construction-to-Perm (Loan B)</t>
  </si>
  <si>
    <t>Legacy Bank - Bridge Loan (Loan A)</t>
  </si>
  <si>
    <t>Legacy Bank - Construction-to-Perm Loan (Loan B)</t>
  </si>
  <si>
    <t>Commonwealth Development Corporation</t>
  </si>
  <si>
    <t>Amortizing</t>
  </si>
  <si>
    <t>Construction costs provided by general contractor with current pricing feedback from local contractors.  The cost of the commercial space (and associated site work) are included in the total construction cost but are not included in eligible basis as these would be open to the general public.  The construction contract includes the cost of water and sewer tap fees so these expenses are not itemized separately, although Payment and Performance bond cost is itemized separately.  Financing costs are based on proposed financing terms from the construction and permanent lender.  Construction interest calculation is based on a flow-of-funds projection using financing terms and the projected construction period.  Insurance costs are based on a current quote from Hausman Group.  Impact fees and permitting fees were calculated from current City of Atlanta fee schedules and an itemized calculation is included in Tab 2 of the application folders.  Equity pricing is in accordance with the provided LOI and projected pricing for the City of Atlanta location.</t>
  </si>
  <si>
    <t>Rents are based on 2022 HUD maximum allowable rents.   Utility allowance is determined by the most recent available allowance published by Atlanta Housing Authority.  Operating expenses were reviewed and adjusted by local experienced management representatives which included provision of a staffing plan.  Property insurance amount was determined by a development-specific quote from Hausman Group.  Real estate tax estimate based upon comparison of cost approach and income approach (using 10% cap rate) using specific project metrics.  Cost to provide high-speed internet to residents is included as a utility cost ($52/mo) and calculated from an Xfinity estimate in the service area.   The proposed operating expense budget meets or exceeds DCA underwriting requirements for a 2023 Atlanta Metro application.  No revenue is included in the pro forma for the commercial space and therefore no revenues are necessary from the commercial space in order to enable the financial feasibility of the development.  Operating costs associated with the commercial space would be borne by the tenants and are therefore not included in the operating budget estimate.</t>
  </si>
  <si>
    <t>Debt coverage ratio for the Legacy Bank loan is at or above 1.20 for the full 17-year term of the loan.  Sufficient cash flow exists to repay the projected deferred developer year by Year 15.</t>
  </si>
  <si>
    <t>Real Property Research Group</t>
  </si>
  <si>
    <t>Occupancies for both the market rate units and affordable units were found to be low.  Underwritten rents (both affordable and market rate) were found to have a minimum 10% or greater advantage to average market rents.  Overall occupancy in the market is high with significant demand for additional multi-family housing.</t>
  </si>
  <si>
    <t>Not applicable as there is not an identify of interest between the Applicant and the Seller.</t>
  </si>
  <si>
    <t>Terrracon</t>
  </si>
  <si>
    <t>Purchase Contract</t>
  </si>
  <si>
    <t>City of Atlanta has confirmed water and sewer is available at the development site.  The provided utility location map indicates water and sewer lines of adequate capacity are adjacent to the development site and within public right of way.</t>
  </si>
  <si>
    <t>Room</t>
  </si>
  <si>
    <t>Covered Porch</t>
  </si>
  <si>
    <t>On-site laundry</t>
  </si>
  <si>
    <t>Not applicable as project proposes new construction.</t>
  </si>
  <si>
    <t>Development would meet or exceed DCA's required standard and additional site amenity requirements.</t>
  </si>
  <si>
    <t>Not applicable as development proposes new construction.</t>
  </si>
  <si>
    <t>Not applicable as applicant is a for-profit developer.</t>
  </si>
  <si>
    <t>No legal opinions are required.</t>
  </si>
  <si>
    <t>Not applicable as there are no occupied structures on the development site.</t>
  </si>
  <si>
    <t>Preliminary scoring worksheet for Enterprise Green Communities indicates Fairhaven on Campbellton would exceed the point scoring requirement for certification.  Applicant also completed the Buidling Sustainability online training May 17, 2023.</t>
  </si>
  <si>
    <t>L.O. Kimberly Elementary School</t>
  </si>
  <si>
    <t>Bunche Middle School</t>
  </si>
  <si>
    <t>Therrell High School</t>
  </si>
  <si>
    <t>Development site is located in the attendance zone for Kimberly Elementary, Bunch High School, and Therrell High School.  Kimberly Elementary School (PK-05) and Bunche Middle School (06-08) both achieved "Beating the Odds" designation in 2018.  Therefore, Fairhaven on Campbellton qualifies for 1.5 points under Quality Education as 8 out of 12 grades score under Section B.</t>
  </si>
  <si>
    <t>MARTA</t>
  </si>
  <si>
    <t>www.itsmarta.com</t>
  </si>
  <si>
    <t>marnold-vhb@itsmarta.com</t>
  </si>
  <si>
    <t>Applicant is claiming points under Revitalization/Redevelopment Plan and is therefore ineligible to claim points under Stable Communities.</t>
  </si>
  <si>
    <t>Not applicable as development is not part of a proposed phased development.</t>
  </si>
  <si>
    <t>Development is not part of a CNI Grant or Purpose Built Communities participant.</t>
  </si>
  <si>
    <t>Cost estimate was derived from Xfinity/Comcast online pricing for service available at the development site.  Assuming a 75 Mbps service (router and modem included) at a cost of $53/month/unit (price after expiration of introductory discounts) this total expense was included in the operatiing expense budget as a separate utility expense.</t>
  </si>
  <si>
    <t>Applicant will proide free high-speed internet that is accessible within each unit.  Internet service will meet DCA requirements (min. 25 Mbps download / 5 Mbps upload).</t>
  </si>
  <si>
    <t>City of Atlanta is not a GICH Community or Alumni.</t>
  </si>
  <si>
    <t>Development site qualifies for 24 Desirable Activitie points.  There are two grocery stores (Kroger and Super Giant) located within 1.5 miles of the site and does not qualify for point deductions as a food desert.  One vacant building was identified south of the site but the building is secured and therefore not an undesirable nearby use.  One vacant and unsecured building is located on the development site but would be demolished as part of the proposed development.</t>
  </si>
  <si>
    <t>Applicant commits to engage Qualified Businesses in the development or operation of the property in amounts equal to 5% or more of total construction hard costs and to submit a report with the Final Allocation Application described our efforts.</t>
  </si>
  <si>
    <t>Applicant will solicit bids from a CORES-certified 3rd Party Contractor and, if the cost is supported by the operating budget, engage a CORES provider for supportive service provision at the development.</t>
  </si>
  <si>
    <t>Applicant is not requesting points for favorable financing.</t>
  </si>
  <si>
    <t>Applicant is not requesting points for historic preservation.</t>
  </si>
  <si>
    <t>Applicant does not have a PBRA commitment but will participate in the DCA 811 program.</t>
  </si>
  <si>
    <t>Not applicable to a new construction deveopment.</t>
  </si>
  <si>
    <t>Applicant does not have a PBRA commitment.</t>
  </si>
  <si>
    <t>Not applicalbe to a new construction development.</t>
  </si>
  <si>
    <t>Not applicable to proposed development.</t>
  </si>
  <si>
    <t>eff. 1/1/2023</t>
  </si>
  <si>
    <t>This section is not applicable to the proposed new construction project.</t>
  </si>
  <si>
    <t>Fairhaven on Campbellton is the Applicant's only 9% submission in the 2023 round.  The development is claiming points under enriched propety services.  The development would reduce public housing waiting lists with Atlanta Housing Authority.</t>
  </si>
  <si>
    <t>Applicant is not requesting points for Community Transformation.</t>
  </si>
  <si>
    <t>The development will be designed and constructed in full compliance with all Acceessibility and Fair Housing requirements.  A DCA-qualified consultant will retained to monitor the project for accessibility compliance throughout all stages from design to final inspection upon construction completion.</t>
  </si>
  <si>
    <t>Fairhaven on Campbellton MM, LLC</t>
  </si>
  <si>
    <t xml:space="preserve">The General Partner (Fairhaven on Campbellton MM, LLC) holds a valid purchase contract on the development site with site control provided beyond December 31, 2023.  </t>
  </si>
  <si>
    <t>Terracon conducted a Phase 1 and Phase 2 site assessment of the development site in accordance with DCA standards.  It did not identify the presence of wetlands or 100-year floodplains on the property.  The Phase 2 identified trace amounts of groundwater chemicals that were within acceptable levels.  The noise assessment did not identify any noise impacts.  Asbestos was identified in the abandoned structure on site and appropriate disposal procedures will be used during demolition.  The site will not impact state waters, 100-year floodplain, endangered species, radon gas, lead, mold/fundi, vapor intrusion, PCB's, or historic resources.  The development will not use HOME funds.</t>
  </si>
  <si>
    <t>Development will provide residents with at least four services from three DCA-approved categories.  Currently, these services are anticipated to be Semi-Monthly Birthday Parties or Parties/Potluck Dinners (1-Social and Recreational Programs); Budgeting Classes (2 - On-Site Enrichment Classes); Arts and Crafts (2 - On-Site Enrichment Classes); and Healthy Cooking Classes (3 - On-Site Health Classes).</t>
  </si>
  <si>
    <t>Development site is unoccupied.  Proposed project would target families.</t>
  </si>
  <si>
    <t>Development costs have been underwritten by an experienced contractor based upon current market pricing in the Atlanta market area.  Non-eligible costs for the mixed-used building and market rate units have not been included in eligible basis.  Operating costs are supported by third-party estimates and meet or exceed all DCA requirements.  Financing commitment letters contain all required information which document the financing costs that are reflected in the provided underwriting.  Development site is zoned for the intended use and in close proximity to a wide variety of amenities.  Applicant is an experienced national developer and owner of affordable housing (with Georgia-specific prior experience).  Development site is located in a 2023 Qualified Census Tract and not within a 1-mile radius of a prior 9% award in the past 6 years.</t>
  </si>
  <si>
    <t>Site is zoned MRC-2-C with a conditional zoning approval that allows up to a maximum 56 multi-family units with the proposed site plan.  Development proposes to build 47 units which would not exceed the zoned and permitted conditional uses.</t>
  </si>
  <si>
    <t>Georgia Power has provided an availability and capacity confirmation letter for the proposed development site.  The development would be all electric.</t>
  </si>
  <si>
    <t>Conceptual site plan conforms to DCA Architectural Manual submission requirements.  Location map shows entire municipality area limits and geographic coordinates for the site.  Ground-level photos are included of the development site and surrounding properties with a site photo key map, descriptions, and date taken.  Aerial photos are included with the most recent online satellite imagery from Google Earth.</t>
  </si>
  <si>
    <t>Development will consist of brick (minimum 30% exterior) and fiber cement siding on exterior.  Free high-speed Wi-Fi internet access will be provided in the community room as well as to each residential unit.  Washer/dryer hookups will be provided in each unit.</t>
  </si>
  <si>
    <t>If selected, the Applicant and its management agent will prepare an Affirmative Fair Housing Marketing Plan in conformance with all requirements.</t>
  </si>
  <si>
    <t>Construction prices were determined by a licensed general contractor using current market pricing in the Atlanta market where the development site is located.  Operating expenses are appropriate for the proposed development type and size.  Equity prices were deemed reasonable for the rural market and projected investor appetite for federal and state credits.</t>
  </si>
  <si>
    <t>No additional comments.</t>
  </si>
  <si>
    <t>Legacy Bank has provided a construction bridge loan commitment (up to $12,100,000) to bridge the projected equity pay-in schedule until conversion although the full amount of construction loan commitment is not projected to be needed.  Legacy Bank has also provided a construction-to-permanent loan commitment ($2,650,000).  Redstone Equity Partners has provided a commitment for federal and state equity financing.  Deferred developer fee will be repaid out of available cash flow within the first 15 years of operation as a loan to the partnership at 0% interest.</t>
  </si>
  <si>
    <t>The cost of one full year of hazard and liability insurance is included in the development budget, based upon the current quote obtained from Hausmann Group.</t>
  </si>
  <si>
    <t>Hazard and Liability Insurance</t>
  </si>
  <si>
    <t>This cost was not included in basis.</t>
  </si>
  <si>
    <t xml:space="preserve">Applicant is Commonwealth Development Corporation of America.  Certifying Developer and General Partner is Louie A. Lange, III, a Principal of Commonwealth Development Corporation of America and of the ownership entities for Fairhaven on Campbellton (Fairhaven on Campbellton, LLC).  Louie A. Lange, III was determined by DCA to be "Qualified" in 2020, 2021, 2022, and 2023.  The Applicant has not submitted any other applications to DCA for consideration in the 2023  9% competitive round.  Development was renamed from "Fairhaven Green" at application to "Fairhaven on Campbellton" at full application submission, although project location and  development type and targeting have not changed. </t>
  </si>
  <si>
    <t xml:space="preserve">Development site is located on MARTA Route 83 with two bus stops within walking distance (&lt;0.25 mile) of the pedestrian entrance/vehicle entrace to the development.  One stop is adjacent to the proposed site entrance and on the same side of Campbellton Road.  Additionally, MARTA is planning a Bus Rapid Transit route along Campbellton which would be complete after the proposed development and one transit station (Harbin Station) would be within walking distance of the site.  </t>
  </si>
  <si>
    <t>Development site is not located within a 1-mile radius of any previously funded 9% LIHTC developments (minimum last 6 funding rounds).</t>
  </si>
  <si>
    <t>p. 2-4</t>
  </si>
  <si>
    <t>p. 16</t>
  </si>
  <si>
    <t>pp. 5-6; 21; 29-30; 58; 81-21</t>
  </si>
  <si>
    <t>pp. 8; 14; 51; 52-53</t>
  </si>
  <si>
    <t xml:space="preserve">Development site is located in a 2023 Qualified Census Tract.  Site is within the targeted corridor for the Campbellton Road TAD CRP (which includes housing as a goal; assesses infrastructure; designates implementation measures; and is annually re-approved by Council) as well as within the MARTA Campbellton Bus Rapid Transit System corridor with Harbin Station less than 0.25 mile west of the site, along with multiple ongoing community improvement projects funded by City of Atlanta (funding value in excess of $30,000/unit).  </t>
  </si>
  <si>
    <t>pp. 51-53 of plan; p. 463-464 Council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</si>
</sst>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16" fontId="9" fillId="10" borderId="125" xfId="37" applyNumberFormat="1"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665" t="s">
        <v>915</v>
      </c>
    </row>
    <row r="2" spans="1:6" ht="15" customHeight="1">
      <c r="A2" s="666" t="str">
        <f>'Part I-Project Identification'!F25</f>
        <v>Fairhaven on Campbellton</v>
      </c>
    </row>
    <row r="3" spans="1:6" ht="15" customHeight="1">
      <c r="A3" s="666" t="str">
        <f>CONCATENATE('Part I-Project Identification'!F26,", ", 'Part I-Project Identification'!J26," County")</f>
        <v>Atlanta, Fulton County</v>
      </c>
    </row>
    <row r="4" spans="1:6" ht="12" customHeight="1">
      <c r="A4" s="1121"/>
    </row>
    <row r="5" spans="1:6" ht="72" customHeight="1">
      <c r="A5" s="3009" t="s">
        <v>6071</v>
      </c>
      <c r="B5" s="3010" t="s">
        <v>3895</v>
      </c>
      <c r="C5" s="3010"/>
      <c r="D5" s="3010"/>
      <c r="E5" s="3010"/>
      <c r="F5" s="3010"/>
    </row>
    <row r="6" spans="1:6" ht="6.5" customHeight="1">
      <c r="A6" s="3009"/>
      <c r="B6" s="3010"/>
      <c r="C6" s="3010"/>
      <c r="D6" s="3010"/>
      <c r="E6" s="3010"/>
      <c r="F6" s="3010"/>
    </row>
    <row r="7" spans="1:6" ht="72" customHeight="1">
      <c r="A7" s="3009"/>
      <c r="B7" s="3010"/>
      <c r="C7" s="3010"/>
      <c r="D7" s="3010"/>
      <c r="E7" s="3010"/>
      <c r="F7" s="3010"/>
    </row>
    <row r="8" spans="1:6" ht="6.5" customHeight="1">
      <c r="A8" s="3009"/>
    </row>
    <row r="9" spans="1:6" ht="72" customHeight="1">
      <c r="A9" s="3009"/>
    </row>
    <row r="10" spans="1:6" ht="6.5" customHeight="1">
      <c r="A10" s="3009"/>
    </row>
    <row r="11" spans="1:6" ht="72" customHeight="1">
      <c r="A11" s="3009"/>
    </row>
    <row r="12" spans="1:6" ht="6.5" customHeight="1">
      <c r="A12" s="3009"/>
    </row>
    <row r="13" spans="1:6" ht="72" customHeight="1">
      <c r="A13" s="3009"/>
    </row>
    <row r="14" spans="1:6" ht="6.5" customHeight="1">
      <c r="A14" s="3009"/>
    </row>
    <row r="15" spans="1:6" ht="72" customHeight="1">
      <c r="A15" s="3009"/>
    </row>
    <row r="16" spans="1:6" ht="6.5" customHeight="1">
      <c r="A16" s="3009"/>
    </row>
    <row r="17" spans="1:1" ht="72" customHeight="1">
      <c r="A17" s="3009"/>
    </row>
    <row r="18" spans="1:1" ht="6.5" customHeight="1">
      <c r="A18" s="3009"/>
    </row>
    <row r="19" spans="1:1" ht="72" customHeight="1">
      <c r="A19" s="3009"/>
    </row>
    <row r="20" spans="1:1" ht="6.5" customHeight="1">
      <c r="A20" s="3009"/>
    </row>
    <row r="21" spans="1:1" ht="72" customHeight="1">
      <c r="A21" s="3009"/>
    </row>
    <row r="22" spans="1:1" ht="6.5"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2" sqref="A42"/>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 customHeight="1">
      <c r="A2" s="3031" t="str">
        <f>CONCATENATE("PART ONE - PROJECT INFORMATION"," - ",$O$7," ",$F$25,", ",'Part I-Project Identification'!F26,", ",'Part I-Project Identification'!J26," County")</f>
        <v>PART ONE - PROJECT INFORMATION - 2023-0 Fairhaven on Campbellton, Atlanta, Fulton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7033</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6910</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25" customHeight="1">
      <c r="A10" s="243" t="s">
        <v>573</v>
      </c>
      <c r="B10" s="243" t="s">
        <v>2192</v>
      </c>
      <c r="D10" s="145"/>
      <c r="E10" s="245"/>
      <c r="F10" s="246" t="s">
        <v>3266</v>
      </c>
      <c r="I10" s="3036">
        <f>'Part III-A-Uses of Funds'!$J$191</f>
        <v>1225000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7034</v>
      </c>
      <c r="G12" s="3041"/>
      <c r="H12" s="3042"/>
      <c r="I12" s="1789" t="s">
        <v>6517</v>
      </c>
      <c r="J12" s="393" t="s">
        <v>6942</v>
      </c>
      <c r="K12" s="243"/>
      <c r="L12" s="248"/>
      <c r="O12" s="3043" t="s">
        <v>7044</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7035</v>
      </c>
      <c r="G15" s="3017"/>
      <c r="H15" s="3018"/>
      <c r="I15" s="2444" t="s">
        <v>1670</v>
      </c>
      <c r="J15" s="3019" t="s">
        <v>7036</v>
      </c>
      <c r="K15" s="3020"/>
      <c r="L15" s="3021"/>
      <c r="M15" s="1898" t="s">
        <v>1839</v>
      </c>
      <c r="N15" s="3016" t="s">
        <v>7038</v>
      </c>
      <c r="O15" s="3017"/>
      <c r="P15" s="3018"/>
      <c r="Q15" s="3050"/>
      <c r="R15" s="3051"/>
      <c r="S15" s="3052"/>
      <c r="Z15" s="1706">
        <v>15</v>
      </c>
    </row>
    <row r="16" spans="1:26" s="144" customFormat="1" ht="12.75" customHeight="1">
      <c r="B16" s="246" t="s">
        <v>1599</v>
      </c>
      <c r="F16" s="3013">
        <v>4044066697</v>
      </c>
      <c r="G16" s="3014"/>
      <c r="H16" s="3015"/>
      <c r="I16" s="2445" t="s">
        <v>1598</v>
      </c>
      <c r="J16" s="823"/>
      <c r="M16" s="246" t="s">
        <v>1600</v>
      </c>
      <c r="N16" s="3013">
        <v>4044066697</v>
      </c>
      <c r="O16" s="3014"/>
      <c r="P16" s="3015"/>
      <c r="Q16" s="3050"/>
      <c r="R16" s="3051"/>
      <c r="S16" s="3052"/>
      <c r="V16" s="751"/>
      <c r="W16" s="751"/>
      <c r="X16" s="751"/>
      <c r="Z16" s="1706">
        <v>18</v>
      </c>
    </row>
    <row r="17" spans="1:26" s="144" customFormat="1">
      <c r="B17" s="246" t="s">
        <v>1842</v>
      </c>
      <c r="F17" s="3022" t="s">
        <v>7037</v>
      </c>
      <c r="G17" s="3023"/>
      <c r="H17" s="3023"/>
      <c r="I17" s="3020"/>
      <c r="J17" s="3023"/>
      <c r="K17" s="3020"/>
      <c r="L17" s="3021"/>
      <c r="M17" s="246" t="s">
        <v>1838</v>
      </c>
      <c r="N17" s="3024">
        <v>4044066697</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7035</v>
      </c>
      <c r="G19" s="3017"/>
      <c r="H19" s="3018"/>
      <c r="I19" s="2444" t="s">
        <v>1670</v>
      </c>
      <c r="J19" s="3019" t="s">
        <v>7039</v>
      </c>
      <c r="K19" s="3020"/>
      <c r="L19" s="3021"/>
      <c r="M19" s="1898" t="s">
        <v>1839</v>
      </c>
      <c r="N19" s="3016" t="s">
        <v>7041</v>
      </c>
      <c r="O19" s="3017"/>
      <c r="P19" s="3018"/>
      <c r="Q19" s="3050"/>
      <c r="R19" s="3051"/>
      <c r="S19" s="3052"/>
      <c r="Z19" s="1706">
        <v>21</v>
      </c>
    </row>
    <row r="20" spans="1:26" s="144" customFormat="1">
      <c r="B20" s="246" t="s">
        <v>1599</v>
      </c>
      <c r="F20" s="3013">
        <v>6086880758</v>
      </c>
      <c r="G20" s="3014"/>
      <c r="H20" s="3015"/>
      <c r="I20" s="2445" t="s">
        <v>1598</v>
      </c>
      <c r="J20" s="823"/>
      <c r="M20" s="246" t="s">
        <v>1600</v>
      </c>
      <c r="N20" s="3013">
        <v>6086880758</v>
      </c>
      <c r="O20" s="3014"/>
      <c r="P20" s="3015"/>
      <c r="Q20" s="3050"/>
      <c r="R20" s="3051"/>
      <c r="S20" s="3052"/>
      <c r="U20" s="230"/>
      <c r="V20" s="230"/>
      <c r="W20" s="230"/>
      <c r="X20" s="230"/>
      <c r="Z20" s="1706">
        <v>24</v>
      </c>
    </row>
    <row r="21" spans="1:26" s="144" customFormat="1">
      <c r="B21" s="246" t="s">
        <v>1842</v>
      </c>
      <c r="F21" s="3022" t="s">
        <v>7040</v>
      </c>
      <c r="G21" s="3023"/>
      <c r="H21" s="3023"/>
      <c r="I21" s="3020"/>
      <c r="J21" s="3023"/>
      <c r="K21" s="3020"/>
      <c r="L21" s="3021"/>
      <c r="M21" s="246" t="s">
        <v>1838</v>
      </c>
      <c r="N21" s="3024">
        <v>6084388415</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25" customHeight="1">
      <c r="A25" s="243"/>
      <c r="B25" s="144" t="s">
        <v>574</v>
      </c>
      <c r="D25" s="243"/>
      <c r="F25" s="3019" t="s">
        <v>7042</v>
      </c>
      <c r="G25" s="3027"/>
      <c r="H25" s="3027"/>
      <c r="I25" s="3020"/>
      <c r="J25" s="3027"/>
      <c r="K25" s="3028"/>
      <c r="M25" s="246" t="s">
        <v>425</v>
      </c>
      <c r="P25" s="1899" t="s">
        <v>2649</v>
      </c>
      <c r="Q25" s="3050"/>
      <c r="R25" s="3051"/>
      <c r="S25" s="3052"/>
      <c r="Z25" s="1706">
        <v>29</v>
      </c>
    </row>
    <row r="26" spans="1:26" s="144" customFormat="1">
      <c r="A26" s="375"/>
      <c r="B26" s="144" t="s">
        <v>575</v>
      </c>
      <c r="F26" s="3058" t="s">
        <v>1131</v>
      </c>
      <c r="G26" s="3071"/>
      <c r="H26" s="3072"/>
      <c r="I26" s="257" t="s">
        <v>576</v>
      </c>
      <c r="J26" s="3029" t="str">
        <f>IF(F26="","",VLOOKUP(F26,'DCA Underwriting Assumptions'!$T$141:$U$770,2,FALSE))</f>
        <v>Fulton</v>
      </c>
      <c r="K26" s="3030"/>
      <c r="M26" s="246" t="s">
        <v>426</v>
      </c>
      <c r="P26" s="1956" t="s">
        <v>2652</v>
      </c>
      <c r="Q26" s="3050"/>
      <c r="R26" s="3051"/>
      <c r="S26" s="3052"/>
      <c r="U26" s="375"/>
      <c r="Z26" s="1706">
        <v>30</v>
      </c>
    </row>
    <row r="27" spans="1:26" s="144" customFormat="1">
      <c r="A27" s="375"/>
      <c r="B27" s="144" t="s">
        <v>3906</v>
      </c>
      <c r="C27" s="251"/>
      <c r="D27" s="252"/>
      <c r="E27" s="252"/>
      <c r="F27" s="3058" t="s">
        <v>7043</v>
      </c>
      <c r="G27" s="3059"/>
      <c r="H27" s="3060"/>
      <c r="I27" s="248"/>
      <c r="J27" s="392" t="s">
        <v>6723</v>
      </c>
      <c r="K27" s="248"/>
      <c r="M27" s="246" t="s">
        <v>6666</v>
      </c>
      <c r="O27" s="3011">
        <v>5.27</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5"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7130</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 customHeight="1">
      <c r="A2" s="3102" t="str">
        <f>CONCATENATE("PART TWO - DEVELOPMENT TEAM INFORMATION","  -  ",'Part I-Project Identification'!$O$7," ",'Part I-Project Identification'!$F$25,", ",'Part I-Project Identification'!F26,", ",'Part I-Project Identification'!J26," County")</f>
        <v>PART TWO - DEVELOPMENT TEAM INFORMATION  -  2023-0 Fairhaven on Campbellton, Atlanta, Fulton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2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7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25"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25"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25"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25"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25"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2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2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2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2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O58" sqref="O58"/>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 customHeight="1">
      <c r="A2" s="3102" t="str">
        <f>CONCATENATE("PART TWO - SOURCES OF FUNDS (Proposed)","  -  ",'Part I-Project Identification'!$O$7," ",'Part I-Project Identification'!$F$25,", ",'Part I-Project Identification'!$F$26,", ",'Part I-Project Identification'!$J$26," County")</f>
        <v>PART TWO - SOURCES OF FUNDS (Proposed)  -  2023-0 Fairhaven on Campbellton, Atlanta, Fulton County</v>
      </c>
      <c r="B2" s="3103"/>
      <c r="C2" s="3103"/>
      <c r="D2" s="3103"/>
      <c r="E2" s="3103"/>
      <c r="F2" s="3103"/>
      <c r="G2" s="3103"/>
      <c r="H2" s="3103"/>
      <c r="I2" s="3103"/>
      <c r="J2" s="3103"/>
      <c r="K2" s="3103"/>
      <c r="L2" s="3103"/>
      <c r="M2" s="3103"/>
      <c r="N2" s="3103"/>
      <c r="O2" s="3103"/>
      <c r="P2" s="3103"/>
      <c r="Q2" s="3104"/>
      <c r="S2" s="3195" t="str">
        <f>$A$2</f>
        <v>PART TWO - SOURCES OF FUNDS (Proposed)  -  2023-0 Fairhaven on Campbellton, Atlanta, Fulton County</v>
      </c>
      <c r="T2" s="3195"/>
      <c r="Y2" s="1742"/>
      <c r="Z2" s="1706">
        <v>2</v>
      </c>
      <c r="AZ2" s="1676"/>
    </row>
    <row r="3" spans="1:52" ht="17.75" customHeight="1">
      <c r="A3" s="145"/>
      <c r="B3" s="145"/>
      <c r="C3" s="145"/>
      <c r="D3" s="145"/>
      <c r="E3" s="145"/>
      <c r="F3" s="145"/>
      <c r="G3" s="1000"/>
      <c r="H3" s="1000"/>
      <c r="I3" s="1000"/>
      <c r="J3" s="1000"/>
      <c r="K3" s="1000"/>
      <c r="L3" s="1000"/>
      <c r="Y3" s="1742"/>
      <c r="Z3" s="1706">
        <v>3</v>
      </c>
      <c r="AZ3" s="1676"/>
    </row>
    <row r="4" spans="1:52" s="223" customFormat="1" ht="13.2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c r="F6" s="224" t="s">
        <v>6079</v>
      </c>
      <c r="G6" s="144"/>
      <c r="I6" s="3206"/>
      <c r="J6" s="3207"/>
      <c r="L6" s="1232"/>
      <c r="M6" s="224" t="s">
        <v>1437</v>
      </c>
      <c r="Q6" s="1620"/>
      <c r="S6" s="3197"/>
      <c r="T6" s="3198"/>
      <c r="Y6" s="1742"/>
      <c r="Z6" s="1706">
        <v>6</v>
      </c>
      <c r="AZ6" s="1676"/>
    </row>
    <row r="7" spans="1:52" s="223" customFormat="1" ht="16.5" customHeight="1">
      <c r="A7" s="375"/>
      <c r="B7" s="823"/>
      <c r="C7" s="224" t="s">
        <v>3876</v>
      </c>
      <c r="D7" s="144"/>
      <c r="E7" s="818"/>
      <c r="F7" s="224" t="s">
        <v>6080</v>
      </c>
      <c r="I7" s="3208"/>
      <c r="J7" s="3209"/>
      <c r="L7" s="823"/>
      <c r="M7" s="224" t="s">
        <v>514</v>
      </c>
      <c r="P7" s="1620"/>
      <c r="Q7" s="1620"/>
      <c r="S7" s="3199"/>
      <c r="T7" s="3200"/>
      <c r="Y7" s="1742"/>
      <c r="Z7" s="1706">
        <v>7</v>
      </c>
      <c r="AZ7" s="1676"/>
    </row>
    <row r="8" spans="1:52" s="223" customFormat="1" ht="16.5" customHeight="1">
      <c r="A8" s="144"/>
      <c r="B8" s="823"/>
      <c r="C8" s="224" t="s">
        <v>6660</v>
      </c>
      <c r="F8" s="223" t="s">
        <v>6663</v>
      </c>
      <c r="H8" s="3220" t="s">
        <v>3065</v>
      </c>
      <c r="I8" s="3221"/>
      <c r="J8" s="3222"/>
      <c r="L8" s="823"/>
      <c r="M8" s="224" t="s">
        <v>6665</v>
      </c>
      <c r="P8" s="1620"/>
      <c r="Q8" s="1620"/>
      <c r="S8" s="3199"/>
      <c r="T8" s="3200"/>
      <c r="Y8" s="1742"/>
      <c r="Z8" s="1706">
        <v>8</v>
      </c>
      <c r="AZ8" s="1676"/>
    </row>
    <row r="9" spans="1:52" s="223" customFormat="1" ht="16.5" customHeight="1">
      <c r="A9" s="375"/>
      <c r="B9" s="823"/>
      <c r="C9" s="223" t="s">
        <v>3300</v>
      </c>
      <c r="E9" s="1235"/>
      <c r="F9" s="3212" t="s">
        <v>6659</v>
      </c>
      <c r="G9" s="3213"/>
      <c r="H9" s="3210"/>
      <c r="I9" s="3210"/>
      <c r="J9" s="3211"/>
      <c r="L9" s="823"/>
      <c r="M9" s="224" t="s">
        <v>3877</v>
      </c>
      <c r="Q9" s="1620"/>
      <c r="S9" s="3201"/>
      <c r="T9" s="3202"/>
      <c r="Y9" s="1742"/>
      <c r="Z9" s="1706">
        <v>9</v>
      </c>
      <c r="AZ9" s="1676"/>
    </row>
    <row r="10" spans="1:52" s="223" customFormat="1" ht="16.5" customHeight="1">
      <c r="A10" s="375"/>
      <c r="B10" s="823"/>
      <c r="C10" s="224" t="s">
        <v>2394</v>
      </c>
      <c r="F10" s="3214" t="s">
        <v>3769</v>
      </c>
      <c r="G10" s="3215"/>
      <c r="H10" s="3215"/>
      <c r="I10" s="3215"/>
      <c r="J10" s="3216"/>
      <c r="L10" s="823"/>
      <c r="M10" s="224" t="s">
        <v>3192</v>
      </c>
      <c r="P10" s="1620"/>
      <c r="Q10" s="1620"/>
      <c r="S10" s="3197"/>
      <c r="T10" s="3198"/>
      <c r="Y10" s="1742"/>
      <c r="Z10" s="1706">
        <v>10</v>
      </c>
      <c r="AZ10" s="1676"/>
    </row>
    <row r="11" spans="1:52" s="223" customFormat="1" ht="16.5" customHeight="1">
      <c r="A11" s="375"/>
      <c r="B11" s="823"/>
      <c r="C11" s="224" t="s">
        <v>2395</v>
      </c>
      <c r="E11" s="1235"/>
      <c r="F11" s="3210" t="s">
        <v>6661</v>
      </c>
      <c r="G11" s="3210"/>
      <c r="H11" s="3210"/>
      <c r="I11" s="3210"/>
      <c r="J11" s="3211"/>
      <c r="L11" s="823"/>
      <c r="M11" s="223" t="s">
        <v>2398</v>
      </c>
      <c r="S11" s="3199"/>
      <c r="T11" s="3200"/>
      <c r="Y11" s="1742"/>
      <c r="Z11" s="1706">
        <v>11</v>
      </c>
      <c r="AZ11" s="1676"/>
    </row>
    <row r="12" spans="1:52" s="223" customFormat="1" ht="16.5" customHeight="1">
      <c r="A12" s="375"/>
      <c r="B12" s="823"/>
      <c r="C12" s="224" t="s">
        <v>3193</v>
      </c>
      <c r="F12" s="3203" t="s">
        <v>3770</v>
      </c>
      <c r="G12" s="3204"/>
      <c r="H12" s="3223"/>
      <c r="I12" s="3223"/>
      <c r="J12" s="3224"/>
      <c r="L12" s="823"/>
      <c r="M12" s="223" t="s">
        <v>3219</v>
      </c>
      <c r="S12" s="3199"/>
      <c r="T12" s="3200"/>
      <c r="Y12" s="1742"/>
      <c r="Z12" s="1706">
        <v>12</v>
      </c>
      <c r="AZ12" s="1676"/>
    </row>
    <row r="13" spans="1:52" s="223" customFormat="1" ht="16.5" customHeight="1">
      <c r="A13" s="375"/>
      <c r="B13" s="823"/>
      <c r="C13" s="224" t="s">
        <v>6662</v>
      </c>
      <c r="E13" s="1232"/>
      <c r="F13" s="224" t="s">
        <v>6664</v>
      </c>
      <c r="H13" s="3203" t="s">
        <v>3291</v>
      </c>
      <c r="I13" s="3204"/>
      <c r="J13" s="3205"/>
      <c r="L13" s="823"/>
      <c r="M13" s="223" t="s">
        <v>6078</v>
      </c>
      <c r="S13" s="3199"/>
      <c r="T13" s="3200"/>
      <c r="Y13" s="1742"/>
      <c r="Z13" s="1706">
        <v>13</v>
      </c>
      <c r="AZ13" s="1676"/>
    </row>
    <row r="14" spans="1:52" s="223" customFormat="1" ht="16.5" customHeight="1">
      <c r="A14" s="375"/>
      <c r="B14" s="823"/>
      <c r="C14" s="223" t="s">
        <v>2397</v>
      </c>
      <c r="E14" s="823"/>
      <c r="F14" s="224" t="s">
        <v>3299</v>
      </c>
      <c r="L14" s="823"/>
      <c r="M14" s="223" t="s">
        <v>6710</v>
      </c>
      <c r="S14" s="3201"/>
      <c r="T14" s="3202"/>
      <c r="Y14" s="1742"/>
      <c r="Z14" s="1706">
        <v>14</v>
      </c>
      <c r="AZ14" s="1676"/>
    </row>
    <row r="15" spans="1:52" s="223" customFormat="1" ht="16.5" customHeight="1">
      <c r="A15" s="375"/>
      <c r="B15" s="823"/>
      <c r="C15" s="223" t="s">
        <v>3218</v>
      </c>
      <c r="E15" s="823"/>
      <c r="F15" s="224" t="s">
        <v>6081</v>
      </c>
      <c r="L15" s="823"/>
      <c r="M15" s="1621" t="s">
        <v>6082</v>
      </c>
      <c r="Y15" s="1742"/>
      <c r="Z15" s="1706">
        <v>15</v>
      </c>
      <c r="AZ15" s="1676"/>
    </row>
    <row r="16" spans="1:52" s="223" customFormat="1" ht="16.5" customHeight="1">
      <c r="A16" s="375"/>
      <c r="B16" s="818"/>
      <c r="C16" s="224" t="s">
        <v>1673</v>
      </c>
      <c r="E16" s="818"/>
      <c r="F16" s="224" t="s">
        <v>6499</v>
      </c>
      <c r="I16" s="3181"/>
      <c r="J16" s="3182"/>
      <c r="L16" s="818"/>
      <c r="M16" s="1621" t="s">
        <v>6077</v>
      </c>
      <c r="Y16" s="1742"/>
      <c r="Z16" s="1706">
        <v>16</v>
      </c>
      <c r="AZ16" s="1676"/>
    </row>
    <row r="17" spans="1:52" s="223" customFormat="1" ht="17"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7063</v>
      </c>
      <c r="I22" s="3228"/>
      <c r="J22" s="3228"/>
      <c r="K22" s="3229"/>
      <c r="L22" s="3230">
        <v>2650000</v>
      </c>
      <c r="M22" s="3231"/>
      <c r="N22" s="3232">
        <v>8.2500000000000004E-2</v>
      </c>
      <c r="O22" s="3233"/>
      <c r="P22" s="3234">
        <v>24</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t="s">
        <v>7062</v>
      </c>
      <c r="I23" s="3239"/>
      <c r="J23" s="3239"/>
      <c r="K23" s="3240"/>
      <c r="L23" s="3241">
        <v>12100000</v>
      </c>
      <c r="M23" s="3242"/>
      <c r="N23" s="3250">
        <v>8.2500000000000004E-2</v>
      </c>
      <c r="O23" s="3251"/>
      <c r="P23" s="3252">
        <v>24</v>
      </c>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t="s">
        <v>7060</v>
      </c>
      <c r="I25" s="3244"/>
      <c r="J25" s="3244"/>
      <c r="K25" s="3245"/>
      <c r="L25" s="3246">
        <v>2633486</v>
      </c>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t="s">
        <v>7060</v>
      </c>
      <c r="I26" s="3239"/>
      <c r="J26" s="3239"/>
      <c r="K26" s="3240"/>
      <c r="L26" s="3241">
        <v>1684206</v>
      </c>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c r="I28" s="3239"/>
      <c r="J28" s="3239"/>
      <c r="K28" s="3240"/>
      <c r="L28" s="3241"/>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c r="I29" s="3239"/>
      <c r="J29" s="3239"/>
      <c r="K29" s="3240"/>
      <c r="L29" s="3241"/>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19067692</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18639365</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428327</v>
      </c>
      <c r="M35" s="3264"/>
      <c r="N35" s="657"/>
      <c r="S35" s="3201"/>
      <c r="T35" s="3202"/>
      <c r="Y35" s="1742"/>
      <c r="Z35" s="1706">
        <v>35</v>
      </c>
      <c r="AZ35" s="1675"/>
    </row>
    <row r="36" spans="1:52" ht="9.5" customHeight="1">
      <c r="A36" s="253"/>
      <c r="B36" s="222"/>
      <c r="C36" s="145"/>
      <c r="D36" s="145"/>
      <c r="E36" s="145"/>
      <c r="F36" s="145"/>
      <c r="G36" s="145"/>
      <c r="H36" s="145"/>
      <c r="I36" s="145"/>
      <c r="J36" s="145"/>
      <c r="K36" s="145"/>
      <c r="L36" s="145"/>
      <c r="M36" s="248"/>
      <c r="N36" s="248"/>
      <c r="Z36" s="1706">
        <v>36</v>
      </c>
    </row>
    <row r="37" spans="1:52" ht="9.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2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2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7061</v>
      </c>
      <c r="F40" s="3228"/>
      <c r="G40" s="3228"/>
      <c r="H40" s="3229"/>
      <c r="I40" s="3287">
        <v>2650000</v>
      </c>
      <c r="J40" s="3288"/>
      <c r="K40" s="654">
        <v>6.5619999999999998E-2</v>
      </c>
      <c r="L40" s="822">
        <v>17</v>
      </c>
      <c r="M40" s="822">
        <v>40</v>
      </c>
      <c r="N40" s="3272" t="s">
        <v>7065</v>
      </c>
      <c r="O40" s="3272"/>
      <c r="P40" s="3286">
        <f>IF(OR(I40&lt;=0,I40=""),"",IF(N40="Cash Flow",0,IF(N40="Amortizing",-PMT(K40/12,M40*12,I40,0,0)*12,"")))</f>
        <v>187581.61721366894</v>
      </c>
      <c r="Q40" s="3286"/>
      <c r="S40" s="3197"/>
      <c r="T40" s="3198"/>
      <c r="Y40" s="1742" t="s">
        <v>6351</v>
      </c>
      <c r="Z40" s="1706">
        <v>40</v>
      </c>
      <c r="AZ40" s="1676" t="s">
        <v>6352</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0.34388085106382976</v>
      </c>
      <c r="E45" s="3186" t="s">
        <v>7064</v>
      </c>
      <c r="F45" s="3187"/>
      <c r="G45" s="3187"/>
      <c r="H45" s="3188"/>
      <c r="I45" s="3273">
        <v>444466</v>
      </c>
      <c r="J45" s="3274"/>
      <c r="K45" s="653">
        <v>0</v>
      </c>
      <c r="L45" s="652">
        <v>15</v>
      </c>
      <c r="M45" s="652">
        <v>15</v>
      </c>
      <c r="N45" s="3043" t="s">
        <v>7065</v>
      </c>
      <c r="O45" s="3044"/>
      <c r="P45" s="3275">
        <f>IF(OR(I45&lt;=0,I45=""),"",IF(N45="Cash Flow",0,IF(N45="Amortizing",-PMT(K45/12,M45*12,I45,0,0)*12,"")))</f>
        <v>29631.066666666666</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f>IF(OR($I$45="",$I$45=0,'Part VI-Pro Forma'!$S$35=0,'Part VI-Pro Forma'!$S$35=""),"",VLOOKUP($L$45,'Part VI-Pro Forma'!$Q$21:$S$40,3))</f>
        <v>555617.33320387697</v>
      </c>
      <c r="G47" s="3285"/>
      <c r="H47" s="485" t="s">
        <v>3404</v>
      </c>
      <c r="I47" s="3284">
        <f>IF(OR($I$45="",$I$45=0,'Part VI-Pro Forma'!$R$35=0,'Part VI-Pro Forma'!$R$35=""),"",VLOOKUP($L$45,'Part VI-Pro Forma'!$Q$21:$S$35,2))</f>
        <v>444465.99999999988</v>
      </c>
      <c r="J47" s="3285"/>
      <c r="K47" s="485" t="s">
        <v>3406</v>
      </c>
      <c r="L47" s="3282">
        <f>IF(OR($F$47 = 0,$F$47 =""),"",$I$47/$F$47)</f>
        <v>0.79994984576355632</v>
      </c>
      <c r="M47" s="3283"/>
      <c r="N47" s="3307" t="s">
        <v>3847</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t="s">
        <v>7060</v>
      </c>
      <c r="F51" s="3239"/>
      <c r="G51" s="3239"/>
      <c r="H51" s="3240"/>
      <c r="I51" s="3269">
        <v>10533947</v>
      </c>
      <c r="J51" s="3269"/>
      <c r="L51" s="3280">
        <f>'Part III-A-Uses of Funds'!$J$191*10*'Part III-A-Uses of Funds'!$N$182</f>
        <v>10535000</v>
      </c>
      <c r="M51" s="3280"/>
      <c r="N51" s="3281">
        <f>I51-L51</f>
        <v>-1053</v>
      </c>
      <c r="O51" s="3281"/>
      <c r="P51" s="324">
        <f>I51/I61</f>
        <v>0.51725133203690854</v>
      </c>
      <c r="Q51" s="144"/>
      <c r="S51" s="3199"/>
      <c r="T51" s="3200"/>
      <c r="Y51" s="1742" t="s">
        <v>6359</v>
      </c>
      <c r="Z51" s="1706">
        <v>51</v>
      </c>
      <c r="AZ51" s="1676" t="s">
        <v>6360</v>
      </c>
    </row>
    <row r="52" spans="1:52" s="223" customFormat="1" ht="15" customHeight="1">
      <c r="A52" s="144"/>
      <c r="B52" s="3236" t="s">
        <v>747</v>
      </c>
      <c r="C52" s="3237"/>
      <c r="D52" s="3277"/>
      <c r="E52" s="3238" t="s">
        <v>7060</v>
      </c>
      <c r="F52" s="3239"/>
      <c r="G52" s="3239"/>
      <c r="H52" s="3240"/>
      <c r="I52" s="3269">
        <v>6736826</v>
      </c>
      <c r="J52" s="3269"/>
      <c r="L52" s="3280">
        <f>'Part III-A-Uses of Funds'!$J$191*10*'Part III-A-Uses of Funds'!$Q$182</f>
        <v>6737500.0000000009</v>
      </c>
      <c r="M52" s="3280"/>
      <c r="N52" s="3281">
        <f>I52-L52</f>
        <v>-674.00000000093132</v>
      </c>
      <c r="O52" s="3281"/>
      <c r="P52" s="324">
        <f>I52/I61</f>
        <v>0.33080024251127127</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0.84805157454817981</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20365239</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20365239</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2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7126</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5" customHeight="1">
      <c r="AZ70" s="1676"/>
    </row>
    <row r="71" spans="1:52" s="223" customFormat="1" ht="14.75" customHeight="1">
      <c r="Y71" s="1742"/>
      <c r="Z71" s="1742"/>
      <c r="AZ71" s="1676"/>
    </row>
    <row r="72" spans="1:52" s="223" customFormat="1" ht="14.75" customHeight="1">
      <c r="Y72" s="1742"/>
      <c r="Z72" s="1742"/>
      <c r="AZ72" s="1676"/>
    </row>
    <row r="73" spans="1:52" s="223" customFormat="1" ht="14.75" customHeight="1">
      <c r="Y73" s="1742"/>
      <c r="Z73" s="1742"/>
      <c r="AZ73" s="1675"/>
    </row>
    <row r="74" spans="1:52" ht="14.75" customHeight="1">
      <c r="AZ74" s="1676"/>
    </row>
    <row r="75" spans="1:52" s="223" customFormat="1" ht="14.75" customHeight="1">
      <c r="A75" s="278"/>
      <c r="Y75" s="1742"/>
      <c r="Z75" s="1742"/>
      <c r="AZ75" s="1676"/>
    </row>
    <row r="76" spans="1:52" s="223" customFormat="1" ht="14.75" customHeight="1">
      <c r="A76" s="278"/>
      <c r="Y76" s="1742"/>
      <c r="Z76" s="1742"/>
      <c r="AZ76" s="1676"/>
    </row>
    <row r="77" spans="1:52" s="223" customFormat="1" ht="14.75" customHeight="1">
      <c r="Y77" s="1742"/>
      <c r="Z77" s="1742"/>
      <c r="AZ77" s="1676"/>
    </row>
    <row r="78" spans="1:52" s="223" customFormat="1" ht="14.75" customHeight="1">
      <c r="A78" s="278"/>
      <c r="Y78" s="1742"/>
      <c r="Z78" s="1742"/>
      <c r="AZ78" s="1676"/>
    </row>
    <row r="79" spans="1:52" s="223" customFormat="1" ht="14.75" customHeight="1">
      <c r="A79" s="276"/>
      <c r="Y79" s="1742"/>
      <c r="Z79" s="1742"/>
      <c r="AZ79" s="1676"/>
    </row>
    <row r="80" spans="1:52" s="223" customFormat="1" ht="14.75" customHeight="1">
      <c r="A80" s="276"/>
      <c r="Y80" s="1742"/>
      <c r="Z80" s="1742"/>
      <c r="AZ80" s="1676"/>
    </row>
    <row r="81" spans="1:52" s="223" customFormat="1" ht="14.75" customHeight="1">
      <c r="A81" s="279"/>
      <c r="Y81" s="1742"/>
      <c r="Z81" s="1742"/>
      <c r="AZ81" s="1676"/>
    </row>
    <row r="82" spans="1:52" s="223" customFormat="1" ht="14.75" customHeight="1">
      <c r="A82" s="278"/>
      <c r="Y82" s="1742"/>
      <c r="Z82" s="1742"/>
      <c r="AZ82" s="1676"/>
    </row>
    <row r="83" spans="1:52" s="223" customFormat="1" ht="14.75" customHeight="1">
      <c r="A83" s="276"/>
      <c r="Y83" s="1742"/>
      <c r="Z83" s="1742"/>
      <c r="AZ83" s="1676"/>
    </row>
    <row r="84" spans="1:52" s="223" customFormat="1" ht="14.75" customHeight="1">
      <c r="A84" s="276"/>
      <c r="Y84" s="1742"/>
      <c r="Z84" s="1742"/>
      <c r="AZ84" s="1676"/>
    </row>
    <row r="85" spans="1:52" s="223" customFormat="1" ht="14.75" customHeight="1">
      <c r="A85" s="279"/>
      <c r="Y85" s="1742"/>
      <c r="Z85" s="1742"/>
      <c r="AZ85" s="1676"/>
    </row>
    <row r="86" spans="1:52" s="223" customFormat="1" ht="14.75" customHeight="1">
      <c r="A86" s="278"/>
      <c r="Y86" s="1742"/>
      <c r="Z86" s="1742"/>
      <c r="AZ86" s="1676"/>
    </row>
    <row r="87" spans="1:52" s="223" customFormat="1" ht="14.75" customHeight="1">
      <c r="A87" s="276"/>
      <c r="Y87" s="1742"/>
      <c r="Z87" s="1742"/>
      <c r="AZ87" s="1676"/>
    </row>
    <row r="88" spans="1:52" s="223" customFormat="1" ht="14.75" customHeight="1">
      <c r="A88" s="276"/>
      <c r="Y88" s="1742"/>
      <c r="Z88" s="1742"/>
      <c r="AZ88" s="1676"/>
    </row>
    <row r="89" spans="1:52" s="223" customFormat="1" ht="14.75" customHeight="1">
      <c r="A89" s="279"/>
      <c r="Y89" s="1742"/>
      <c r="Z89" s="1742"/>
      <c r="AZ89" s="1676"/>
    </row>
    <row r="90" spans="1:52" s="223" customFormat="1" ht="14.75" customHeight="1">
      <c r="A90" s="279"/>
      <c r="Y90" s="1742"/>
      <c r="Z90" s="1742"/>
      <c r="AZ90" s="1676"/>
    </row>
    <row r="91" spans="1:52" s="223" customFormat="1" ht="14.75" customHeight="1">
      <c r="A91" s="279"/>
      <c r="Y91" s="1742"/>
      <c r="Z91" s="1742"/>
      <c r="AZ91" s="1676"/>
    </row>
    <row r="92" spans="1:52" s="223" customFormat="1" ht="14.75" customHeight="1">
      <c r="A92" s="279"/>
      <c r="Y92" s="1742"/>
      <c r="Z92" s="1742"/>
      <c r="AZ92" s="1676"/>
    </row>
    <row r="93" spans="1:52" s="223" customFormat="1" ht="14.75" customHeight="1">
      <c r="Y93" s="1742"/>
      <c r="Z93" s="1742"/>
      <c r="AZ93" s="1676"/>
    </row>
    <row r="94" spans="1:52" s="223" customFormat="1" ht="14.75" customHeight="1">
      <c r="Y94" s="1742"/>
      <c r="Z94" s="1742"/>
      <c r="AZ94" s="1675"/>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1"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2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317" t="s">
        <v>122</v>
      </c>
      <c r="B14" s="3317"/>
      <c r="C14" s="3317"/>
      <c r="D14" s="3317"/>
      <c r="E14" s="3317"/>
      <c r="F14" s="3317"/>
      <c r="G14" s="162"/>
      <c r="H14" s="162"/>
    </row>
    <row r="15" spans="1:17" ht="5.75" customHeight="1">
      <c r="A15" s="10"/>
      <c r="E15" s="169"/>
      <c r="F15" s="162"/>
      <c r="G15" s="162"/>
      <c r="H15" s="162"/>
    </row>
    <row r="16" spans="1:17" ht="13.25" customHeight="1">
      <c r="A16" s="170" t="s">
        <v>2284</v>
      </c>
      <c r="B16" s="171" t="s">
        <v>2281</v>
      </c>
      <c r="C16" s="171" t="s">
        <v>2282</v>
      </c>
      <c r="D16" s="3326" t="s">
        <v>2082</v>
      </c>
      <c r="E16" s="3326"/>
      <c r="F16" s="162"/>
      <c r="G16" s="162"/>
      <c r="H16" s="162"/>
    </row>
    <row r="17" spans="1:8" ht="12.5" customHeight="1">
      <c r="A17" s="60">
        <v>1</v>
      </c>
      <c r="B17" s="155">
        <f>IF(A17&gt;$C$9,0,SUM(C64:C75)*($C$6/$C$7))</f>
        <v>0</v>
      </c>
      <c r="C17" s="158">
        <f>IF(A17&gt;C9,0,(E63+K63)*$C$8)</f>
        <v>0</v>
      </c>
      <c r="D17" s="3321">
        <f t="shared" ref="D17:D56" si="0">IF(A17&gt;$C$9,0,$C$11+C17)</f>
        <v>0</v>
      </c>
      <c r="E17" s="3321"/>
      <c r="F17" s="162"/>
      <c r="G17" s="162"/>
      <c r="H17" s="162"/>
    </row>
    <row r="18" spans="1:8" ht="12.5" customHeight="1">
      <c r="A18" s="60">
        <v>2</v>
      </c>
      <c r="B18" s="155">
        <f>IF(A18&gt;C9,0,SUM(C76:C87)*($C$6/$C$7))</f>
        <v>0</v>
      </c>
      <c r="C18" s="158">
        <f>IF(A18&gt;C9,0,(E75+K75)*$C$8)</f>
        <v>0</v>
      </c>
      <c r="D18" s="3319">
        <f t="shared" si="0"/>
        <v>0</v>
      </c>
      <c r="E18" s="3319"/>
      <c r="F18" s="162"/>
      <c r="G18" s="162"/>
      <c r="H18" s="162"/>
    </row>
    <row r="19" spans="1:8" ht="12.5" customHeight="1">
      <c r="A19" s="60">
        <v>3</v>
      </c>
      <c r="B19" s="155">
        <f>IF(A19&gt;C9,0,SUM(C88:C99)*($C$6/$C$7))</f>
        <v>0</v>
      </c>
      <c r="C19" s="158">
        <f>IF(A19&gt;C9,0,(E87+K87)*$C$8)</f>
        <v>0</v>
      </c>
      <c r="D19" s="3319">
        <f t="shared" si="0"/>
        <v>0</v>
      </c>
      <c r="E19" s="3319"/>
      <c r="F19" s="162"/>
      <c r="G19" s="162"/>
      <c r="H19" s="162"/>
    </row>
    <row r="20" spans="1:8" ht="12.5" customHeight="1">
      <c r="A20" s="60">
        <v>4</v>
      </c>
      <c r="B20" s="155">
        <f>IF(A20&gt;C9,0,SUM(C100:C111)*($C$6/$C$7))</f>
        <v>0</v>
      </c>
      <c r="C20" s="158">
        <f>IF(A20&gt;C9,0,(E99+K99)*$C$8)</f>
        <v>0</v>
      </c>
      <c r="D20" s="3319">
        <f t="shared" si="0"/>
        <v>0</v>
      </c>
      <c r="E20" s="3319"/>
      <c r="F20" s="162"/>
      <c r="G20" s="162"/>
      <c r="H20" s="162"/>
    </row>
    <row r="21" spans="1:8" ht="12.5" customHeight="1">
      <c r="A21" s="60">
        <v>5</v>
      </c>
      <c r="B21" s="155">
        <f>IF(A21&gt;C9,0,SUM(C112:C123)*($C$6/$C$7))</f>
        <v>0</v>
      </c>
      <c r="C21" s="158">
        <f>IF(A21&gt;C9,0,(E111+K111)*$C$8)</f>
        <v>0</v>
      </c>
      <c r="D21" s="3320">
        <f t="shared" si="0"/>
        <v>0</v>
      </c>
      <c r="E21" s="3320"/>
      <c r="F21" s="162"/>
      <c r="G21" s="162"/>
      <c r="H21" s="162"/>
    </row>
    <row r="22" spans="1:8" ht="12.5" customHeight="1">
      <c r="A22" s="156">
        <v>6</v>
      </c>
      <c r="B22" s="157">
        <f>IF(A22&gt;C9,0,SUM(C124:C135)*($C$6/$C$7))</f>
        <v>0</v>
      </c>
      <c r="C22" s="173">
        <f>IF(A22&gt;C9,0,(E123+K123)*$C$8)</f>
        <v>0</v>
      </c>
      <c r="D22" s="3319">
        <f t="shared" si="0"/>
        <v>0</v>
      </c>
      <c r="E22" s="3319"/>
      <c r="F22" s="162"/>
      <c r="G22" s="162"/>
      <c r="H22" s="162"/>
    </row>
    <row r="23" spans="1:8" ht="12.5" customHeight="1">
      <c r="A23" s="60">
        <v>7</v>
      </c>
      <c r="B23" s="155">
        <f>IF(A23&gt;C9,0,SUM(C136:C147)*($C$6/$C$7))</f>
        <v>0</v>
      </c>
      <c r="C23" s="158">
        <f>IF(A23&gt;C9,0,(E135+K135)*$C$8)</f>
        <v>0</v>
      </c>
      <c r="D23" s="3319">
        <f t="shared" si="0"/>
        <v>0</v>
      </c>
      <c r="E23" s="3319"/>
      <c r="F23" s="162"/>
      <c r="G23" s="162"/>
      <c r="H23" s="162"/>
    </row>
    <row r="24" spans="1:8" ht="12.5" customHeight="1">
      <c r="A24" s="60">
        <v>8</v>
      </c>
      <c r="B24" s="155">
        <f>IF(A24&gt;C9,0,SUM(C148:C159)*($C$6/$C$7))</f>
        <v>0</v>
      </c>
      <c r="C24" s="158">
        <f>IF(A24&gt;C9,0,(E147+K147)*$C$8)</f>
        <v>0</v>
      </c>
      <c r="D24" s="3319">
        <f t="shared" si="0"/>
        <v>0</v>
      </c>
      <c r="E24" s="3319"/>
      <c r="F24" s="162"/>
      <c r="G24" s="162"/>
      <c r="H24" s="162"/>
    </row>
    <row r="25" spans="1:8" ht="12.5" customHeight="1">
      <c r="A25" s="60">
        <v>9</v>
      </c>
      <c r="B25" s="155">
        <f>IF(A25&gt;C9,0,SUM(C160:C171)*($C$6/$C$7))</f>
        <v>0</v>
      </c>
      <c r="C25" s="158">
        <f>IF(A25&gt;C9,0,(E159+K159)*$C$8)</f>
        <v>0</v>
      </c>
      <c r="D25" s="3319">
        <f t="shared" si="0"/>
        <v>0</v>
      </c>
      <c r="E25" s="3319"/>
      <c r="F25" s="162"/>
      <c r="G25" s="162"/>
      <c r="H25" s="162"/>
    </row>
    <row r="26" spans="1:8" ht="12.5" customHeight="1">
      <c r="A26" s="159">
        <v>10</v>
      </c>
      <c r="B26" s="160">
        <f>IF(A26&gt;C9,0,SUM(C172:C183)*($C$6/$C$7))</f>
        <v>0</v>
      </c>
      <c r="C26" s="172">
        <f>IF(A26&gt;C9,0,(E171+K171)*$C$8)</f>
        <v>0</v>
      </c>
      <c r="D26" s="3320">
        <f t="shared" si="0"/>
        <v>0</v>
      </c>
      <c r="E26" s="3320"/>
      <c r="F26" s="162"/>
      <c r="G26" s="162"/>
      <c r="H26" s="162"/>
    </row>
    <row r="27" spans="1:8" ht="12.5" customHeight="1">
      <c r="A27" s="60">
        <v>11</v>
      </c>
      <c r="B27" s="155">
        <f>IF(A27&gt;C9,0,SUM(C184:C195)*($C$6/$C$7))</f>
        <v>0</v>
      </c>
      <c r="C27" s="158">
        <f>IF(A27&gt;C9,0,(E183+K183)*$C$8)</f>
        <v>0</v>
      </c>
      <c r="D27" s="3319">
        <f t="shared" si="0"/>
        <v>0</v>
      </c>
      <c r="E27" s="3319"/>
      <c r="F27" s="162"/>
      <c r="G27" s="162"/>
      <c r="H27" s="162"/>
    </row>
    <row r="28" spans="1:8" ht="12.5" customHeight="1">
      <c r="A28" s="60">
        <v>12</v>
      </c>
      <c r="B28" s="155">
        <f>IF(A28&gt;C9,0,SUM(C196:C207)*($C$6/$C$7))</f>
        <v>0</v>
      </c>
      <c r="C28" s="158">
        <f>IF(A28&gt;C9,0,(E195+K195)*$C$8)</f>
        <v>0</v>
      </c>
      <c r="D28" s="3319">
        <f t="shared" si="0"/>
        <v>0</v>
      </c>
      <c r="E28" s="3319"/>
      <c r="F28" s="162"/>
      <c r="G28" s="162"/>
      <c r="H28" s="162"/>
    </row>
    <row r="29" spans="1:8" ht="12.5" customHeight="1">
      <c r="A29" s="60">
        <v>13</v>
      </c>
      <c r="B29" s="155">
        <f>IF(A29&gt;C9,0,SUM(C208:C219)*($C$6/$C$7))</f>
        <v>0</v>
      </c>
      <c r="C29" s="158">
        <f>IF(A29&gt;C9,0,(E207+K207)*$C$8)</f>
        <v>0</v>
      </c>
      <c r="D29" s="3319">
        <f t="shared" si="0"/>
        <v>0</v>
      </c>
      <c r="E29" s="3319"/>
      <c r="F29" s="162"/>
      <c r="G29" s="162"/>
      <c r="H29" s="162"/>
    </row>
    <row r="30" spans="1:8" ht="12.5" customHeight="1">
      <c r="A30" s="60">
        <v>14</v>
      </c>
      <c r="B30" s="155">
        <f>IF(A30&gt;C9,0,SUM(C220:C231)*($C$6/$C$7))</f>
        <v>0</v>
      </c>
      <c r="C30" s="158">
        <f>IF(A30&gt;C9,0,(E219+K219)*$C$8)</f>
        <v>0</v>
      </c>
      <c r="D30" s="3319">
        <f t="shared" si="0"/>
        <v>0</v>
      </c>
      <c r="E30" s="3319"/>
      <c r="F30" s="162"/>
      <c r="G30" s="162"/>
      <c r="H30" s="162"/>
    </row>
    <row r="31" spans="1:8" ht="12.5" customHeight="1">
      <c r="A31" s="60">
        <v>15</v>
      </c>
      <c r="B31" s="155">
        <f>IF(A31&gt;C9,0,SUM(C232:C243)*($C$6/$C$7))</f>
        <v>0</v>
      </c>
      <c r="C31" s="158">
        <f>IF(A31&gt;C9,0,(E231+K231)*$C$8)</f>
        <v>0</v>
      </c>
      <c r="D31" s="3320">
        <f t="shared" si="0"/>
        <v>0</v>
      </c>
      <c r="E31" s="3320"/>
      <c r="F31" s="162"/>
      <c r="G31" s="162"/>
      <c r="H31" s="162"/>
    </row>
    <row r="32" spans="1:8" ht="12.5" customHeight="1">
      <c r="A32" s="156">
        <v>16</v>
      </c>
      <c r="B32" s="157">
        <f>IF(A32&gt;C9,0,SUM(C244:C255)*($C$6/$C$7))</f>
        <v>0</v>
      </c>
      <c r="C32" s="173">
        <f>IF(A32&gt;C9,0,(E243+K243)*$C$8)</f>
        <v>0</v>
      </c>
      <c r="D32" s="3319">
        <f t="shared" si="0"/>
        <v>0</v>
      </c>
      <c r="E32" s="3319"/>
      <c r="F32" s="162"/>
      <c r="G32" s="162"/>
      <c r="H32" s="162"/>
    </row>
    <row r="33" spans="1:8" ht="12.5" customHeight="1">
      <c r="A33" s="60">
        <v>17</v>
      </c>
      <c r="B33" s="155">
        <f>IF(A33&gt;C9,0,SUM(C256:C267)*($C$6/$C$7))</f>
        <v>0</v>
      </c>
      <c r="C33" s="158">
        <f>IF(A33&gt;C9,0,(E255+K255)*$C$8)</f>
        <v>0</v>
      </c>
      <c r="D33" s="3319">
        <f t="shared" si="0"/>
        <v>0</v>
      </c>
      <c r="E33" s="3319"/>
      <c r="F33" s="162"/>
      <c r="G33" s="162"/>
      <c r="H33" s="162"/>
    </row>
    <row r="34" spans="1:8" ht="12.5" customHeight="1">
      <c r="A34" s="60">
        <v>18</v>
      </c>
      <c r="B34" s="155">
        <f>IF(A34&gt;C9,0,SUM(C268:C279)*($C$6/$C$7))</f>
        <v>0</v>
      </c>
      <c r="C34" s="158">
        <f>IF(A34&gt;C9,0,(E267+K267)*$C$8)</f>
        <v>0</v>
      </c>
      <c r="D34" s="3319">
        <f t="shared" si="0"/>
        <v>0</v>
      </c>
      <c r="E34" s="3319"/>
      <c r="F34" s="162"/>
      <c r="G34" s="162"/>
      <c r="H34" s="162"/>
    </row>
    <row r="35" spans="1:8" ht="12.5" customHeight="1">
      <c r="A35" s="60">
        <v>19</v>
      </c>
      <c r="B35" s="155">
        <f>IF(A35&gt;C9,0,SUM(C280:C291)*($C$6/$C$7))</f>
        <v>0</v>
      </c>
      <c r="C35" s="158">
        <f>IF(A35&gt;C9,0,(E279+K279)*$C$8)</f>
        <v>0</v>
      </c>
      <c r="D35" s="3319">
        <f t="shared" si="0"/>
        <v>0</v>
      </c>
      <c r="E35" s="3319"/>
      <c r="F35" s="162"/>
      <c r="G35" s="162"/>
      <c r="H35" s="162"/>
    </row>
    <row r="36" spans="1:8" ht="12.5" customHeight="1">
      <c r="A36" s="159">
        <v>20</v>
      </c>
      <c r="B36" s="160">
        <f>IF(A36&gt;C9,0,SUM(C292:C303)*($C$6/$C$7))</f>
        <v>0</v>
      </c>
      <c r="C36" s="172">
        <f>IF(A36&gt;C9,0,(E291+K291)*$C$8)</f>
        <v>0</v>
      </c>
      <c r="D36" s="3320">
        <f t="shared" si="0"/>
        <v>0</v>
      </c>
      <c r="E36" s="3320"/>
      <c r="F36" s="162"/>
      <c r="G36" s="162"/>
      <c r="H36" s="162"/>
    </row>
    <row r="37" spans="1:8" ht="12.5" customHeight="1">
      <c r="A37" s="60">
        <v>21</v>
      </c>
      <c r="B37" s="157">
        <f>IF(A37&gt;C9,0,SUM(C293:C304)*($C$6/$C$7))</f>
        <v>0</v>
      </c>
      <c r="C37" s="173">
        <f>IF(A37&gt;C9,0,(E303+K303)*$C$8)</f>
        <v>0</v>
      </c>
      <c r="D37" s="3322">
        <f t="shared" si="0"/>
        <v>0</v>
      </c>
      <c r="E37" s="3322"/>
      <c r="F37" s="162"/>
      <c r="G37" s="162"/>
      <c r="H37" s="162"/>
    </row>
    <row r="38" spans="1:8" ht="12.5" customHeight="1">
      <c r="A38" s="60">
        <v>22</v>
      </c>
      <c r="B38" s="155">
        <f>IF(A38&gt;C9,0,SUM(C294:C305)*($C$6/$C$7))</f>
        <v>0</v>
      </c>
      <c r="C38" s="158">
        <f>IF(A38&gt;C9,0,(E315+K315)*$C$8)</f>
        <v>0</v>
      </c>
      <c r="D38" s="3319">
        <f t="shared" si="0"/>
        <v>0</v>
      </c>
      <c r="E38" s="3319"/>
      <c r="F38" s="162"/>
      <c r="G38" s="162"/>
      <c r="H38" s="162"/>
    </row>
    <row r="39" spans="1:8" ht="12.5" customHeight="1">
      <c r="A39" s="60">
        <v>23</v>
      </c>
      <c r="B39" s="155">
        <f>IF(A39&gt;C9,0,SUM(C295:C306)*($C$6/$C$7))</f>
        <v>0</v>
      </c>
      <c r="C39" s="158">
        <f>IF(A39&gt;C9,0,(E327+K327)*$C$8)</f>
        <v>0</v>
      </c>
      <c r="D39" s="3319">
        <f t="shared" si="0"/>
        <v>0</v>
      </c>
      <c r="E39" s="3319"/>
      <c r="F39" s="162"/>
      <c r="G39" s="162"/>
      <c r="H39" s="162"/>
    </row>
    <row r="40" spans="1:8" ht="12.5" customHeight="1">
      <c r="A40" s="60">
        <v>24</v>
      </c>
      <c r="B40" s="155">
        <f>IF(A40&gt;C9,0,SUM(C296:C307)*($C$6/$C$7))</f>
        <v>0</v>
      </c>
      <c r="C40" s="158">
        <f>IF(A40&gt;C9,0,(E339+K339)*$C$8)</f>
        <v>0</v>
      </c>
      <c r="D40" s="3319">
        <f t="shared" si="0"/>
        <v>0</v>
      </c>
      <c r="E40" s="3319"/>
      <c r="F40" s="162"/>
      <c r="G40" s="162"/>
      <c r="H40" s="162"/>
    </row>
    <row r="41" spans="1:8" ht="12.5" customHeight="1">
      <c r="A41" s="60">
        <v>25</v>
      </c>
      <c r="B41" s="160">
        <f>IF(A41&gt;C9,0,SUM(C297:C308)*($C$6/$C$7))</f>
        <v>0</v>
      </c>
      <c r="C41" s="172">
        <f>IF(A41&gt;C9,0,(E351+K351)*$C$8)</f>
        <v>0</v>
      </c>
      <c r="D41" s="3320">
        <f t="shared" si="0"/>
        <v>0</v>
      </c>
      <c r="E41" s="3320"/>
      <c r="F41" s="162"/>
      <c r="G41" s="162"/>
      <c r="H41" s="162"/>
    </row>
    <row r="42" spans="1:8" ht="12.5" customHeight="1">
      <c r="A42" s="156">
        <v>26</v>
      </c>
      <c r="B42" s="157">
        <f>IF(A42&gt;C9,0,SUM(C298:C309)*($C$6/$C$7))</f>
        <v>0</v>
      </c>
      <c r="C42" s="173">
        <f>IF(A42&gt;C9,0,(E363+K363)*$C$8)</f>
        <v>0</v>
      </c>
      <c r="D42" s="3322">
        <f t="shared" si="0"/>
        <v>0</v>
      </c>
      <c r="E42" s="3322"/>
      <c r="F42" s="162"/>
      <c r="G42" s="162"/>
      <c r="H42" s="162"/>
    </row>
    <row r="43" spans="1:8" ht="12.5" customHeight="1">
      <c r="A43" s="60">
        <v>27</v>
      </c>
      <c r="B43" s="155">
        <f>IF(A43&gt;C9,0,SUM(C299:C310)*($C$6/$C$7))</f>
        <v>0</v>
      </c>
      <c r="C43" s="158">
        <f>IF(A43&gt;C9,0,(E375+K375)*$C$8)</f>
        <v>0</v>
      </c>
      <c r="D43" s="3319">
        <f t="shared" si="0"/>
        <v>0</v>
      </c>
      <c r="E43" s="3319"/>
      <c r="F43" s="162"/>
      <c r="G43" s="162"/>
      <c r="H43" s="162"/>
    </row>
    <row r="44" spans="1:8" ht="12.5" customHeight="1">
      <c r="A44" s="60">
        <v>28</v>
      </c>
      <c r="B44" s="155">
        <f>IF(A44&gt;C9,0,SUM(C300:C311)*($C$6/$C$7))</f>
        <v>0</v>
      </c>
      <c r="C44" s="158">
        <f>IF(A44&gt;C9,0,(E387+K387)*$C$8)</f>
        <v>0</v>
      </c>
      <c r="D44" s="3319">
        <f t="shared" si="0"/>
        <v>0</v>
      </c>
      <c r="E44" s="3319"/>
      <c r="F44" s="162"/>
      <c r="G44" s="162"/>
      <c r="H44" s="162"/>
    </row>
    <row r="45" spans="1:8" ht="12.5" customHeight="1">
      <c r="A45" s="60">
        <v>29</v>
      </c>
      <c r="B45" s="155">
        <f>IF(A45&gt;C9,0,SUM(C301:C312)*($C$6/$C$7))</f>
        <v>0</v>
      </c>
      <c r="C45" s="158">
        <f>IF(A45&gt;C9,0,(E411+K411)*$C$8)</f>
        <v>0</v>
      </c>
      <c r="D45" s="3319">
        <f t="shared" si="0"/>
        <v>0</v>
      </c>
      <c r="E45" s="3319"/>
      <c r="F45" s="162"/>
      <c r="G45" s="162"/>
      <c r="H45" s="162"/>
    </row>
    <row r="46" spans="1:8" ht="12.5" customHeight="1">
      <c r="A46" s="159">
        <v>30</v>
      </c>
      <c r="B46" s="160">
        <f>IF(A46&gt;C9,0,SUM(C302:C313)*($C$6/$C$7))</f>
        <v>0</v>
      </c>
      <c r="C46" s="172">
        <f>IF(A46&gt;C9,0,(E423+K423)*$C$8)</f>
        <v>0</v>
      </c>
      <c r="D46" s="3320">
        <f t="shared" si="0"/>
        <v>0</v>
      </c>
      <c r="E46" s="3320"/>
      <c r="F46" s="162"/>
      <c r="G46" s="162"/>
      <c r="H46" s="162"/>
    </row>
    <row r="47" spans="1:8" ht="12.5" customHeight="1">
      <c r="A47" s="156">
        <v>31</v>
      </c>
      <c r="B47" s="157">
        <f>IF(A47&gt;C9,0,SUM(C303:C314)*($C$6/$C$7))</f>
        <v>0</v>
      </c>
      <c r="C47" s="173">
        <f>IF(A47&gt;C9,0,(E435+K435)*$C$8)</f>
        <v>0</v>
      </c>
      <c r="D47" s="3322">
        <f t="shared" si="0"/>
        <v>0</v>
      </c>
      <c r="E47" s="3322"/>
      <c r="F47" s="162"/>
      <c r="G47" s="162"/>
      <c r="H47" s="162"/>
    </row>
    <row r="48" spans="1:8" ht="12.5" customHeight="1">
      <c r="A48" s="60">
        <v>32</v>
      </c>
      <c r="B48" s="155">
        <f>IF(A48&gt;C9,0,SUM(C304:C315)*($C$6/$C$7))</f>
        <v>0</v>
      </c>
      <c r="C48" s="158">
        <f>IF(A48&gt;C9,0,(E447+K447)*$C$8)</f>
        <v>0</v>
      </c>
      <c r="D48" s="3319">
        <f t="shared" si="0"/>
        <v>0</v>
      </c>
      <c r="E48" s="3319"/>
      <c r="F48" s="162"/>
      <c r="G48" s="162"/>
      <c r="H48" s="162"/>
    </row>
    <row r="49" spans="1:12" ht="12.5" customHeight="1">
      <c r="A49" s="60">
        <v>33</v>
      </c>
      <c r="B49" s="155">
        <f>IF(A49&gt;C9,0,SUM(C305:C316)*($C$6/$C$7))</f>
        <v>0</v>
      </c>
      <c r="C49" s="158">
        <f>IF(A49&gt;C9,0,(E459+K459)*$C$8)</f>
        <v>0</v>
      </c>
      <c r="D49" s="3319">
        <f t="shared" si="0"/>
        <v>0</v>
      </c>
      <c r="E49" s="3319"/>
      <c r="F49" s="162"/>
      <c r="G49" s="162"/>
      <c r="H49" s="162"/>
    </row>
    <row r="50" spans="1:12" ht="12.5" customHeight="1">
      <c r="A50" s="60">
        <v>34</v>
      </c>
      <c r="B50" s="155">
        <f>IF(A50&gt;C9,0,SUM(C306:C317)*($C$6/$C$7))</f>
        <v>0</v>
      </c>
      <c r="C50" s="158">
        <f>IF(A50&gt;C9,0,(E471+K471)*$C$8)</f>
        <v>0</v>
      </c>
      <c r="D50" s="3319">
        <f t="shared" si="0"/>
        <v>0</v>
      </c>
      <c r="E50" s="3319"/>
      <c r="F50" s="162"/>
      <c r="G50" s="162"/>
      <c r="H50" s="162"/>
    </row>
    <row r="51" spans="1:12" ht="12.5" customHeight="1">
      <c r="A51" s="159">
        <v>35</v>
      </c>
      <c r="B51" s="160">
        <f>IF(A51&gt;C9,0,SUM(C307:C318)*($C$6/$C$7))</f>
        <v>0</v>
      </c>
      <c r="C51" s="172">
        <f>IF(A51&gt;C9,0,(E483+K483)*$C$8)</f>
        <v>0</v>
      </c>
      <c r="D51" s="3320">
        <f t="shared" si="0"/>
        <v>0</v>
      </c>
      <c r="E51" s="3320"/>
      <c r="F51" s="162"/>
      <c r="G51" s="162"/>
      <c r="H51" s="162"/>
    </row>
    <row r="52" spans="1:12" ht="12.5" customHeight="1">
      <c r="A52" s="156">
        <v>36</v>
      </c>
      <c r="B52" s="157">
        <f>IF(A52&gt;C9,0,SUM(C308:C319)*($C$6/$C$7))</f>
        <v>0</v>
      </c>
      <c r="C52" s="173">
        <f>IF(A52&gt;C9,0,(E495+K495)*$C$8)</f>
        <v>0</v>
      </c>
      <c r="D52" s="3322">
        <f t="shared" si="0"/>
        <v>0</v>
      </c>
      <c r="E52" s="3322"/>
      <c r="F52" s="162"/>
      <c r="G52" s="162"/>
      <c r="H52" s="162"/>
    </row>
    <row r="53" spans="1:12" ht="12.5" customHeight="1">
      <c r="A53" s="60">
        <v>37</v>
      </c>
      <c r="B53" s="155">
        <f>IF(A53&gt;C9,0,SUM(C309:C320)*($C$6/$C$7))</f>
        <v>0</v>
      </c>
      <c r="C53" s="158">
        <f>IF(A53&gt;C9,0,(E507+K507)*$C$8)</f>
        <v>0</v>
      </c>
      <c r="D53" s="3319">
        <f t="shared" si="0"/>
        <v>0</v>
      </c>
      <c r="E53" s="3319"/>
      <c r="F53" s="162"/>
      <c r="G53" s="162"/>
      <c r="H53" s="162"/>
    </row>
    <row r="54" spans="1:12" ht="12.5" customHeight="1">
      <c r="A54" s="60">
        <v>38</v>
      </c>
      <c r="B54" s="155">
        <f>IF(A54&gt;C9,0,SUM(C310:C321)*($C$6/$C$7))</f>
        <v>0</v>
      </c>
      <c r="C54" s="158">
        <f>IF(A54&gt;C9,0,(E519+K519)*$C$8)</f>
        <v>0</v>
      </c>
      <c r="D54" s="3319">
        <f t="shared" si="0"/>
        <v>0</v>
      </c>
      <c r="E54" s="3319"/>
      <c r="F54" s="162"/>
      <c r="G54" s="162"/>
      <c r="H54" s="162"/>
    </row>
    <row r="55" spans="1:12" ht="12.5" customHeight="1">
      <c r="A55" s="60">
        <v>39</v>
      </c>
      <c r="B55" s="155">
        <f>IF(A55&gt;C9,0,SUM(C311:C322)*($C$6/$C$7))</f>
        <v>0</v>
      </c>
      <c r="C55" s="158">
        <f>IF(A55&gt;C9,0,(E531+K531)*$C$8)</f>
        <v>0</v>
      </c>
      <c r="D55" s="3319">
        <f t="shared" si="0"/>
        <v>0</v>
      </c>
      <c r="E55" s="3319"/>
      <c r="F55" s="162"/>
      <c r="G55" s="162"/>
      <c r="H55" s="162"/>
    </row>
    <row r="56" spans="1:12" ht="12.5"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2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4">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5" customHeight="1">
      <c r="A3" s="3316" t="s">
        <v>210</v>
      </c>
      <c r="B3" s="3316"/>
      <c r="C3" s="3316"/>
      <c r="D3" s="3316"/>
      <c r="E3" s="3316"/>
      <c r="F3" s="3316"/>
      <c r="G3" s="189"/>
      <c r="H3" s="189"/>
    </row>
    <row r="4" spans="1:17">
      <c r="A4" s="10"/>
    </row>
    <row r="5" spans="1:17" ht="13.2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318" t="e">
        <f>CONCATENATE(#REF!," ",#REF!,", ",#REF!,", ",#REF!," County")</f>
        <v>#REF!</v>
      </c>
      <c r="B50" s="3318"/>
      <c r="C50" s="3318"/>
      <c r="D50" s="3318"/>
      <c r="E50" s="3318"/>
      <c r="F50" s="3318"/>
      <c r="G50" s="41"/>
      <c r="H50" s="41"/>
    </row>
    <row r="51" spans="1:10" ht="14">
      <c r="A51" s="3316" t="s">
        <v>2275</v>
      </c>
      <c r="B51" s="3316"/>
      <c r="C51" s="3316"/>
      <c r="D51" s="3316"/>
      <c r="E51" s="3316"/>
      <c r="F51" s="3316"/>
      <c r="G51" s="189"/>
      <c r="H51" s="189"/>
      <c r="I51" s="189"/>
      <c r="J51" s="189"/>
    </row>
    <row r="52" spans="1:10" ht="5.75" customHeight="1">
      <c r="C52" s="161"/>
      <c r="D52" s="161"/>
    </row>
    <row r="53" spans="1:10">
      <c r="A53" s="163" t="s">
        <v>2276</v>
      </c>
      <c r="B53" s="163" t="s">
        <v>2277</v>
      </c>
      <c r="C53" s="163" t="s">
        <v>1217</v>
      </c>
      <c r="D53" s="163" t="s">
        <v>2278</v>
      </c>
      <c r="E53" s="163" t="s">
        <v>2279</v>
      </c>
      <c r="F53" s="185" t="s">
        <v>2284</v>
      </c>
      <c r="G53" s="163"/>
      <c r="H53" s="163"/>
      <c r="I53" s="163"/>
    </row>
    <row r="54" spans="1:10" ht="3.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20" zoomScaleNormal="120" workbookViewId="0">
      <selection activeCell="J67" sqref="J67:K67"/>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ustomWidth="1"/>
    <col min="32" max="32" width="10.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Fairhaven on Campbellton, Atlanta, Fulton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Fairhaven on Campbellton, Atlanta, Fulton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10000</v>
      </c>
      <c r="H9" s="3231"/>
      <c r="J9" s="3230">
        <v>10000</v>
      </c>
      <c r="K9" s="3231"/>
      <c r="L9" s="828"/>
      <c r="M9" s="3230"/>
      <c r="N9" s="3231"/>
      <c r="P9" s="3230"/>
      <c r="Q9" s="3231"/>
      <c r="S9" s="3230"/>
      <c r="T9" s="3231"/>
      <c r="V9" s="849"/>
      <c r="W9" s="3342"/>
      <c r="X9" s="3343"/>
      <c r="AZ9" s="1968"/>
      <c r="BA9" s="1706">
        <v>9</v>
      </c>
    </row>
    <row r="10" spans="1:53" s="144" customFormat="1" ht="11.25" customHeight="1">
      <c r="B10" s="144" t="s">
        <v>431</v>
      </c>
      <c r="G10" s="3241">
        <v>7500</v>
      </c>
      <c r="H10" s="3242"/>
      <c r="J10" s="3241">
        <v>75000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20000</v>
      </c>
      <c r="H11" s="3242"/>
      <c r="J11" s="3241">
        <v>20000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20000</v>
      </c>
      <c r="H12" s="3242"/>
      <c r="J12" s="3241">
        <v>20000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20000</v>
      </c>
      <c r="H13" s="3242"/>
      <c r="J13" s="3241">
        <v>20000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5000</v>
      </c>
      <c r="H14" s="3242"/>
      <c r="J14" s="3241">
        <v>5000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6721</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6721</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6721</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5" customHeight="1" thickTop="1">
      <c r="F18" s="281" t="s">
        <v>184</v>
      </c>
      <c r="G18" s="3338">
        <f>SUM(G9:G17)</f>
        <v>82500</v>
      </c>
      <c r="H18" s="3339"/>
      <c r="J18" s="3338">
        <f>SUM(J9:J17)</f>
        <v>150000</v>
      </c>
      <c r="K18" s="3339"/>
      <c r="L18" s="828"/>
      <c r="M18" s="3338">
        <f>SUM(M9:M17)</f>
        <v>0</v>
      </c>
      <c r="N18" s="3339"/>
      <c r="P18" s="3338">
        <f>SUM(P9:P17)</f>
        <v>0</v>
      </c>
      <c r="Q18" s="3339"/>
      <c r="S18" s="3338">
        <f>SUM(S9:S17)</f>
        <v>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436432.63757115754</v>
      </c>
      <c r="G20" s="3230">
        <v>2300000</v>
      </c>
      <c r="H20" s="3231"/>
      <c r="J20" s="283"/>
      <c r="K20" s="280"/>
      <c r="L20" s="283"/>
      <c r="M20" s="283"/>
      <c r="N20" s="280"/>
      <c r="P20" s="283"/>
      <c r="Q20" s="280"/>
      <c r="S20" s="3230">
        <v>2300000</v>
      </c>
      <c r="T20" s="3231"/>
      <c r="V20" s="849"/>
      <c r="W20" s="3342"/>
      <c r="X20" s="3343"/>
      <c r="AZ20" s="1968"/>
      <c r="BA20" s="1706">
        <v>20</v>
      </c>
    </row>
    <row r="21" spans="1:53" s="144" customFormat="1" ht="11.25" customHeight="1">
      <c r="B21" s="144" t="s">
        <v>1054</v>
      </c>
      <c r="G21" s="3241">
        <v>20000</v>
      </c>
      <c r="H21" s="3242"/>
      <c r="J21" s="283"/>
      <c r="K21" s="280"/>
      <c r="L21" s="283"/>
      <c r="M21" s="283"/>
      <c r="N21" s="280"/>
      <c r="P21" s="283"/>
      <c r="Q21" s="280"/>
      <c r="S21" s="3241">
        <v>20000</v>
      </c>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5" customHeight="1" thickTop="1">
      <c r="F24" s="281" t="s">
        <v>184</v>
      </c>
      <c r="G24" s="3338">
        <f>SUM(G20:G23)</f>
        <v>2320000</v>
      </c>
      <c r="H24" s="3339"/>
      <c r="J24" s="283"/>
      <c r="K24" s="280"/>
      <c r="L24" s="283"/>
      <c r="M24" s="3338">
        <f>SUM(M22:M23)</f>
        <v>0</v>
      </c>
      <c r="N24" s="3339"/>
      <c r="P24" s="283"/>
      <c r="Q24" s="280"/>
      <c r="S24" s="3338">
        <f>SUM(S20:S23)</f>
        <v>2320000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398481.97343453515</v>
      </c>
      <c r="G26" s="3230">
        <v>2100000</v>
      </c>
      <c r="H26" s="3231"/>
      <c r="J26" s="3230">
        <v>1800000</v>
      </c>
      <c r="K26" s="3231"/>
      <c r="L26" s="828"/>
      <c r="M26" s="3379"/>
      <c r="N26" s="3380"/>
      <c r="P26" s="3379"/>
      <c r="Q26" s="3380"/>
      <c r="S26" s="3230">
        <v>300000</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5" customHeight="1" thickTop="1">
      <c r="F28" s="281" t="s">
        <v>184</v>
      </c>
      <c r="G28" s="3338">
        <f>SUM(G26:G27)</f>
        <v>2100000</v>
      </c>
      <c r="H28" s="3339"/>
      <c r="J28" s="3338">
        <f>SUM(J26:J27)</f>
        <v>1800000</v>
      </c>
      <c r="K28" s="3339"/>
      <c r="L28" s="283"/>
      <c r="M28" s="3338">
        <f>M26</f>
        <v>0</v>
      </c>
      <c r="N28" s="3339"/>
      <c r="P28" s="3338">
        <f>P26</f>
        <v>0</v>
      </c>
      <c r="Q28" s="3339"/>
      <c r="S28" s="3338">
        <f>SUM(S26:S27)</f>
        <v>300000</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9269202</v>
      </c>
      <c r="H30" s="3231"/>
      <c r="J30" s="3230">
        <v>7556397</v>
      </c>
      <c r="K30" s="3231"/>
      <c r="L30" s="828"/>
      <c r="M30" s="3230"/>
      <c r="N30" s="3231"/>
      <c r="P30" s="3230"/>
      <c r="Q30" s="3231"/>
      <c r="S30" s="3230">
        <v>1712805</v>
      </c>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5" customHeight="1" thickTop="1">
      <c r="C36" s="3385"/>
      <c r="D36" s="3385"/>
      <c r="E36" s="829"/>
      <c r="F36" s="281" t="s">
        <v>184</v>
      </c>
      <c r="G36" s="3338">
        <f>SUM(G30:G35)</f>
        <v>9269202</v>
      </c>
      <c r="H36" s="3339"/>
      <c r="J36" s="3338">
        <f>SUM(J30:J35)</f>
        <v>7556397</v>
      </c>
      <c r="K36" s="3339"/>
      <c r="L36" s="828"/>
      <c r="M36" s="3338">
        <f>SUM(M30:M35)</f>
        <v>0</v>
      </c>
      <c r="N36" s="3339"/>
      <c r="P36" s="3338">
        <f>SUM(P30:P35)</f>
        <v>0</v>
      </c>
      <c r="Q36" s="3339"/>
      <c r="S36" s="3338">
        <f>SUM(S30:S35)</f>
        <v>1712805</v>
      </c>
      <c r="T36" s="3339"/>
      <c r="V36" s="851">
        <f>SUM(V30:V35)</f>
        <v>0</v>
      </c>
      <c r="W36" s="3351"/>
      <c r="X36" s="3352"/>
      <c r="AZ36" s="1968" t="s">
        <v>6371</v>
      </c>
      <c r="BA36" s="1706">
        <v>36</v>
      </c>
    </row>
    <row r="37" spans="1:53" s="144" customFormat="1" ht="12" customHeight="1">
      <c r="B37" s="243" t="s">
        <v>2163</v>
      </c>
      <c r="D37" s="3384" t="s">
        <v>3224</v>
      </c>
      <c r="E37" s="3384"/>
      <c r="F37" s="760">
        <f>SUM(F38:F40)</f>
        <v>0.13999997537206216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682152</v>
      </c>
      <c r="F38" s="1949">
        <f>IF(($G$28+$G$36)=0,0,G38/($G$28+$G$36))</f>
        <v>5.9999989445169502E-2</v>
      </c>
      <c r="G38" s="3230">
        <v>682152</v>
      </c>
      <c r="H38" s="3231"/>
      <c r="I38" s="145"/>
      <c r="J38" s="3230">
        <v>561383</v>
      </c>
      <c r="K38" s="3231"/>
      <c r="L38" s="828"/>
      <c r="M38" s="3230"/>
      <c r="N38" s="3231"/>
      <c r="P38" s="3230"/>
      <c r="Q38" s="3231"/>
      <c r="S38" s="3230">
        <v>120769</v>
      </c>
      <c r="T38" s="3231"/>
      <c r="V38" s="849"/>
      <c r="W38" s="3342"/>
      <c r="X38" s="3343"/>
      <c r="AZ38" s="1968"/>
      <c r="BA38" s="1706">
        <v>38</v>
      </c>
    </row>
    <row r="39" spans="1:53" s="144" customFormat="1" ht="11.25" customHeight="1">
      <c r="B39" s="144" t="s">
        <v>2475</v>
      </c>
      <c r="D39" s="1947">
        <f>'DCA Underwriting Assumptions'!$R$39</f>
        <v>0.02</v>
      </c>
      <c r="E39" s="1948">
        <f>ROUNDDOWN(D39*(G28+G36),0)</f>
        <v>227384</v>
      </c>
      <c r="F39" s="1949">
        <f>IF(($G$28+$G$36)=0,0,G39/($G$28+$G$36))</f>
        <v>1.9999996481723167E-2</v>
      </c>
      <c r="G39" s="3241">
        <v>227384</v>
      </c>
      <c r="H39" s="3242"/>
      <c r="I39" s="145"/>
      <c r="J39" s="3241">
        <v>187127</v>
      </c>
      <c r="K39" s="3242"/>
      <c r="L39" s="828"/>
      <c r="M39" s="3241"/>
      <c r="N39" s="3242"/>
      <c r="P39" s="3241"/>
      <c r="Q39" s="3242"/>
      <c r="S39" s="3241">
        <v>40257</v>
      </c>
      <c r="T39" s="3242"/>
      <c r="V39" s="849"/>
      <c r="W39" s="3342"/>
      <c r="X39" s="3343"/>
      <c r="AZ39" s="1968"/>
      <c r="BA39" s="1706">
        <v>39</v>
      </c>
    </row>
    <row r="40" spans="1:53" s="144" customFormat="1" ht="11.25" customHeight="1" thickBot="1">
      <c r="B40" s="144" t="s">
        <v>2476</v>
      </c>
      <c r="D40" s="1950">
        <f>'DCA Underwriting Assumptions'!$R$40</f>
        <v>0.06</v>
      </c>
      <c r="E40" s="1951">
        <f>ROUNDDOWN(D40*(G28+G36),0)</f>
        <v>682152</v>
      </c>
      <c r="F40" s="1952">
        <f>IF(($G$28+$G$36)=0,0,G40/($G$28+$G$36))</f>
        <v>5.9999989445169502E-2</v>
      </c>
      <c r="G40" s="3340">
        <v>682152</v>
      </c>
      <c r="H40" s="3341"/>
      <c r="I40" s="145"/>
      <c r="J40" s="3340">
        <v>561383</v>
      </c>
      <c r="K40" s="3341"/>
      <c r="L40" s="828"/>
      <c r="M40" s="3340"/>
      <c r="N40" s="3341"/>
      <c r="P40" s="3340"/>
      <c r="Q40" s="3341"/>
      <c r="S40" s="3340">
        <v>120769</v>
      </c>
      <c r="T40" s="3341"/>
      <c r="V40" s="849"/>
      <c r="W40" s="3349"/>
      <c r="X40" s="3350"/>
      <c r="AZ40" s="1968"/>
      <c r="BA40" s="1706">
        <v>40</v>
      </c>
    </row>
    <row r="41" spans="1:53" s="144" customFormat="1" ht="12.5" customHeight="1" thickTop="1">
      <c r="B41" s="147" t="s">
        <v>3225</v>
      </c>
      <c r="D41" s="761">
        <f>SUM(D38:D40)</f>
        <v>0.14000000000000001</v>
      </c>
      <c r="E41" s="762">
        <f>SUM(E38:E40)</f>
        <v>1591688</v>
      </c>
      <c r="F41" s="1946" t="s">
        <v>184</v>
      </c>
      <c r="G41" s="3338">
        <f>SUM(G38:G40)</f>
        <v>1591688</v>
      </c>
      <c r="H41" s="3339"/>
      <c r="J41" s="3338">
        <f>SUM(J38:J40)</f>
        <v>1309893</v>
      </c>
      <c r="K41" s="3339"/>
      <c r="L41" s="283"/>
      <c r="M41" s="3338">
        <f>SUM(M38:M40)</f>
        <v>0</v>
      </c>
      <c r="N41" s="3339"/>
      <c r="P41" s="3338">
        <f>SUM(P38:P40)</f>
        <v>0</v>
      </c>
      <c r="Q41" s="3339"/>
      <c r="S41" s="3338">
        <f>SUM(S38:S40)</f>
        <v>281795</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12960890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6721</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5" customHeight="1">
      <c r="B48" s="1665" t="s">
        <v>2479</v>
      </c>
      <c r="C48" s="1666"/>
      <c r="E48" s="3396" t="s">
        <v>2478</v>
      </c>
      <c r="F48" s="1667">
        <f>C49/'Part V-Revenues &amp; Expenses'!$P$65</f>
        <v>275763.61702127662</v>
      </c>
      <c r="G48" s="1668" t="s">
        <v>2492</v>
      </c>
      <c r="H48" s="1669"/>
      <c r="I48" s="1669"/>
      <c r="J48" s="3398">
        <f>C49/'Part V-Revenues &amp; Expenses'!$P$67</f>
        <v>275763.61702127662</v>
      </c>
      <c r="K48" s="3398"/>
      <c r="L48" s="1669"/>
      <c r="M48" s="3399" t="s">
        <v>6475</v>
      </c>
      <c r="N48" s="3399"/>
      <c r="O48" s="1669"/>
      <c r="P48" s="3398">
        <f>C49/'Part V-Revenues &amp; Expenses'!$K$175</f>
        <v>319.62737361282365</v>
      </c>
      <c r="Q48" s="3398"/>
      <c r="R48" s="1669"/>
      <c r="S48" s="3400" t="s">
        <v>6477</v>
      </c>
      <c r="T48" s="3401"/>
      <c r="V48" s="852"/>
      <c r="W48" s="3392"/>
      <c r="X48" s="3393"/>
      <c r="AZ48" s="1968"/>
      <c r="BA48" s="1706">
        <v>48</v>
      </c>
    </row>
    <row r="49" spans="1:53" s="144" customFormat="1" ht="12.5" customHeight="1">
      <c r="B49" s="1714" t="s">
        <v>6488</v>
      </c>
      <c r="C49" s="1713">
        <f>G28+G36+G41+G46</f>
        <v>12960890</v>
      </c>
      <c r="E49" s="3397"/>
      <c r="F49" s="1670">
        <f>C49/'Part V-Revenues &amp; Expenses'!$P$166</f>
        <v>319.62737361282365</v>
      </c>
      <c r="G49" s="1671" t="s">
        <v>2493</v>
      </c>
      <c r="H49" s="1672"/>
      <c r="I49" s="1672"/>
      <c r="J49" s="3386">
        <f>C49/'Part V-Revenues &amp; Expenses'!$P$168</f>
        <v>319.62737361282365</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648044.5</v>
      </c>
      <c r="F55" s="1756">
        <f>G55/C49</f>
        <v>4.9999961422402317E-2</v>
      </c>
      <c r="G55" s="3388">
        <v>648044</v>
      </c>
      <c r="H55" s="3389"/>
      <c r="I55" s="144"/>
      <c r="J55" s="3388">
        <v>533315</v>
      </c>
      <c r="K55" s="3389"/>
      <c r="L55" s="828"/>
      <c r="M55" s="3388"/>
      <c r="N55" s="3389"/>
      <c r="O55" s="144"/>
      <c r="P55" s="3388"/>
      <c r="Q55" s="3389"/>
      <c r="R55" s="144"/>
      <c r="S55" s="3388">
        <v>114729</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5" customHeight="1">
      <c r="B57" s="1674" t="s">
        <v>6297</v>
      </c>
      <c r="C57" s="1666"/>
      <c r="E57" s="3481" t="s">
        <v>6298</v>
      </c>
      <c r="F57" s="1667">
        <f>B58/'Part V-Revenues &amp; Expenses'!$P$65</f>
        <v>289551.78723404254</v>
      </c>
      <c r="G57" s="1668" t="s">
        <v>2492</v>
      </c>
      <c r="H57" s="1669"/>
      <c r="I57" s="1669"/>
      <c r="J57" s="3398">
        <f>B58/'Part V-Revenues &amp; Expenses'!$P$67</f>
        <v>289551.78723404254</v>
      </c>
      <c r="K57" s="3398"/>
      <c r="L57" s="1669"/>
      <c r="M57" s="3399" t="s">
        <v>6475</v>
      </c>
      <c r="N57" s="3399"/>
      <c r="O57" s="1669"/>
      <c r="P57" s="3398">
        <f>B58/'Part V-Revenues &amp; Expenses'!$K$175</f>
        <v>335.60872996300861</v>
      </c>
      <c r="Q57" s="3398"/>
      <c r="R57" s="1669"/>
      <c r="S57" s="3400" t="s">
        <v>6477</v>
      </c>
      <c r="T57" s="3401"/>
      <c r="V57" s="852"/>
      <c r="W57" s="3392"/>
      <c r="X57" s="3393"/>
      <c r="AZ57" s="1968"/>
      <c r="BA57" s="1706">
        <v>54</v>
      </c>
    </row>
    <row r="58" spans="1:53" s="144" customFormat="1" ht="12.5" customHeight="1">
      <c r="B58" s="3479">
        <f>C49+G55</f>
        <v>13608934</v>
      </c>
      <c r="C58" s="3480"/>
      <c r="E58" s="3482"/>
      <c r="F58" s="1670">
        <f>B58/'Part V-Revenues &amp; Expenses'!$P$166</f>
        <v>335.60872996300861</v>
      </c>
      <c r="G58" s="1671" t="s">
        <v>2493</v>
      </c>
      <c r="H58" s="1672"/>
      <c r="I58" s="1672"/>
      <c r="J58" s="3386">
        <f>B58/'Part V-Revenues &amp; Expenses'!$P$168</f>
        <v>335.60872996300861</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146547</v>
      </c>
      <c r="H63" s="3242"/>
      <c r="J63" s="3241">
        <v>107982</v>
      </c>
      <c r="K63" s="3242"/>
      <c r="L63" s="828"/>
      <c r="M63" s="3241"/>
      <c r="N63" s="3242"/>
      <c r="P63" s="3241"/>
      <c r="Q63" s="3242"/>
      <c r="S63" s="3241">
        <f>G63-J63</f>
        <v>38565</v>
      </c>
      <c r="T63" s="3242"/>
      <c r="V63" s="853"/>
      <c r="W63" s="3342"/>
      <c r="X63" s="3343"/>
      <c r="AZ63" s="1968"/>
      <c r="BA63" s="1706">
        <v>63</v>
      </c>
    </row>
    <row r="64" spans="1:53" s="144" customFormat="1" ht="12" customHeight="1">
      <c r="B64" s="144" t="s">
        <v>2167</v>
      </c>
      <c r="G64" s="3241">
        <v>958413</v>
      </c>
      <c r="H64" s="3242"/>
      <c r="J64" s="3241">
        <v>698266</v>
      </c>
      <c r="K64" s="3242"/>
      <c r="L64" s="828"/>
      <c r="M64" s="3241"/>
      <c r="N64" s="3242"/>
      <c r="P64" s="3241"/>
      <c r="Q64" s="3242"/>
      <c r="S64" s="3241">
        <f>G64-J64</f>
        <v>260147</v>
      </c>
      <c r="T64" s="3242"/>
      <c r="V64" s="853"/>
      <c r="W64" s="3342"/>
      <c r="X64" s="3343"/>
      <c r="AZ64" s="1968"/>
      <c r="BA64" s="1706">
        <v>64</v>
      </c>
    </row>
    <row r="65" spans="1:53" s="144" customFormat="1" ht="12" customHeight="1">
      <c r="B65" s="144" t="s">
        <v>2168</v>
      </c>
      <c r="G65" s="3241">
        <v>20000</v>
      </c>
      <c r="H65" s="3242"/>
      <c r="J65" s="3241">
        <v>14737</v>
      </c>
      <c r="K65" s="3242"/>
      <c r="L65" s="828"/>
      <c r="M65" s="3241"/>
      <c r="N65" s="3242"/>
      <c r="P65" s="3241"/>
      <c r="Q65" s="3242"/>
      <c r="S65" s="3241">
        <v>5263</v>
      </c>
      <c r="T65" s="3242"/>
      <c r="V65" s="853"/>
      <c r="W65" s="3342"/>
      <c r="X65" s="3343"/>
      <c r="AZ65" s="1968" t="s">
        <v>6375</v>
      </c>
      <c r="BA65" s="1706">
        <v>65</v>
      </c>
    </row>
    <row r="66" spans="1:53" s="144" customFormat="1" ht="12" customHeight="1">
      <c r="B66" s="144" t="s">
        <v>2450</v>
      </c>
      <c r="G66" s="3241">
        <v>46454</v>
      </c>
      <c r="H66" s="3242"/>
      <c r="J66" s="3241">
        <v>46454</v>
      </c>
      <c r="K66" s="3242"/>
      <c r="L66" s="828"/>
      <c r="M66" s="3241"/>
      <c r="N66" s="3242"/>
      <c r="P66" s="3241"/>
      <c r="Q66" s="3242"/>
      <c r="S66" s="3241">
        <f t="shared" ref="S66:S70" si="0">G66-J66</f>
        <v>0</v>
      </c>
      <c r="T66" s="3242"/>
      <c r="V66" s="853"/>
      <c r="W66" s="3342"/>
      <c r="X66" s="3343"/>
      <c r="AZ66" s="1968" t="s">
        <v>6376</v>
      </c>
      <c r="BA66" s="1706">
        <v>66</v>
      </c>
    </row>
    <row r="67" spans="1:53" s="144" customFormat="1" ht="12" customHeight="1">
      <c r="B67" s="144" t="s">
        <v>676</v>
      </c>
      <c r="G67" s="3241">
        <v>10000</v>
      </c>
      <c r="H67" s="3242"/>
      <c r="J67" s="3241">
        <v>10000</v>
      </c>
      <c r="K67" s="3242"/>
      <c r="L67" s="828"/>
      <c r="M67" s="3241"/>
      <c r="N67" s="3242"/>
      <c r="P67" s="3241"/>
      <c r="Q67" s="3242"/>
      <c r="S67" s="3241">
        <f t="shared" si="0"/>
        <v>0</v>
      </c>
      <c r="T67" s="3242"/>
      <c r="V67" s="853"/>
      <c r="W67" s="3342"/>
      <c r="X67" s="3343"/>
      <c r="AZ67" s="1968" t="s">
        <v>6377</v>
      </c>
      <c r="BA67" s="1706">
        <v>67</v>
      </c>
    </row>
    <row r="68" spans="1:53" s="144" customFormat="1" ht="12" customHeight="1">
      <c r="B68" s="144" t="s">
        <v>2169</v>
      </c>
      <c r="G68" s="3241">
        <v>74338</v>
      </c>
      <c r="H68" s="3242"/>
      <c r="J68" s="3241">
        <v>74338</v>
      </c>
      <c r="K68" s="3242"/>
      <c r="L68" s="828"/>
      <c r="M68" s="3241"/>
      <c r="N68" s="3242"/>
      <c r="P68" s="3241"/>
      <c r="Q68" s="3242"/>
      <c r="S68" s="3241">
        <f t="shared" si="0"/>
        <v>0</v>
      </c>
      <c r="T68" s="3242"/>
      <c r="V68" s="853"/>
      <c r="W68" s="3342"/>
      <c r="X68" s="3343"/>
      <c r="AZ68" s="1968"/>
      <c r="BA68" s="1706">
        <v>68</v>
      </c>
    </row>
    <row r="69" spans="1:53" s="144" customFormat="1" ht="12" customHeight="1">
      <c r="B69" s="144" t="s">
        <v>1200</v>
      </c>
      <c r="G69" s="3241">
        <v>50000</v>
      </c>
      <c r="H69" s="3242"/>
      <c r="J69" s="3241">
        <v>50000</v>
      </c>
      <c r="K69" s="3242"/>
      <c r="L69" s="828"/>
      <c r="M69" s="3241"/>
      <c r="N69" s="3242"/>
      <c r="P69" s="3241"/>
      <c r="Q69" s="3242"/>
      <c r="S69" s="3241">
        <v>0</v>
      </c>
      <c r="T69" s="3242"/>
      <c r="V69" s="853"/>
      <c r="W69" s="3342"/>
      <c r="X69" s="3343"/>
      <c r="AZ69" s="1968"/>
      <c r="BA69" s="1706">
        <v>69</v>
      </c>
    </row>
    <row r="70" spans="1:53" s="144" customFormat="1" ht="12" customHeight="1">
      <c r="B70" s="287" t="s">
        <v>1085</v>
      </c>
      <c r="D70" s="285"/>
      <c r="E70" s="285"/>
      <c r="F70" s="286"/>
      <c r="G70" s="3241">
        <v>74528</v>
      </c>
      <c r="H70" s="3242"/>
      <c r="I70" s="145"/>
      <c r="J70" s="3241">
        <v>74528</v>
      </c>
      <c r="K70" s="3242"/>
      <c r="L70" s="828"/>
      <c r="M70" s="3241"/>
      <c r="N70" s="3242"/>
      <c r="P70" s="3241"/>
      <c r="Q70" s="3242"/>
      <c r="S70" s="3241">
        <f t="shared" si="0"/>
        <v>0</v>
      </c>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6721</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6721</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1380280</v>
      </c>
      <c r="H73" s="3339"/>
      <c r="J73" s="3338">
        <f>SUM(J61:J72)</f>
        <v>1076305</v>
      </c>
      <c r="K73" s="3339"/>
      <c r="L73" s="283"/>
      <c r="M73" s="3338">
        <f>SUM(M61:M72)</f>
        <v>0</v>
      </c>
      <c r="N73" s="3339"/>
      <c r="P73" s="3338">
        <f>SUM(P61:P72)</f>
        <v>0</v>
      </c>
      <c r="Q73" s="3339"/>
      <c r="S73" s="3338">
        <f>SUM(S61:S72)</f>
        <v>303975</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301600</v>
      </c>
      <c r="H75" s="3231"/>
      <c r="J75" s="3230">
        <v>301600</v>
      </c>
      <c r="K75" s="3231"/>
      <c r="L75" s="828"/>
      <c r="M75" s="3230"/>
      <c r="N75" s="3231"/>
      <c r="P75" s="3230"/>
      <c r="Q75" s="3231"/>
      <c r="S75" s="3230"/>
      <c r="T75" s="3231"/>
      <c r="V75" s="849"/>
      <c r="W75" s="3342"/>
      <c r="X75" s="3343"/>
      <c r="AZ75" s="1968"/>
      <c r="BA75" s="1706">
        <v>75</v>
      </c>
    </row>
    <row r="76" spans="1:53" s="144" customFormat="1" ht="12" customHeight="1">
      <c r="B76" s="144" t="s">
        <v>451</v>
      </c>
      <c r="G76" s="3241">
        <v>75400</v>
      </c>
      <c r="H76" s="3242"/>
      <c r="J76" s="3241">
        <v>75400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v>15000</v>
      </c>
      <c r="H78" s="3242"/>
      <c r="J78" s="3241">
        <v>15000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10000</v>
      </c>
      <c r="H79" s="3242"/>
      <c r="J79" s="3241">
        <v>10000</v>
      </c>
      <c r="K79" s="3242"/>
      <c r="L79" s="828"/>
      <c r="M79" s="3241"/>
      <c r="N79" s="3242"/>
      <c r="P79" s="3241"/>
      <c r="Q79" s="3242"/>
      <c r="S79" s="3241"/>
      <c r="T79" s="3242"/>
      <c r="V79" s="849"/>
      <c r="W79" s="3342"/>
      <c r="X79" s="3343"/>
      <c r="AZ79" s="1968" t="s">
        <v>6378</v>
      </c>
      <c r="BA79" s="1706">
        <v>79</v>
      </c>
    </row>
    <row r="80" spans="1:53" s="144" customFormat="1" ht="12" customHeight="1">
      <c r="B80" s="144" t="s">
        <v>1064</v>
      </c>
      <c r="G80" s="3241">
        <v>20000</v>
      </c>
      <c r="H80" s="3242"/>
      <c r="J80" s="3241">
        <v>20000</v>
      </c>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98700</v>
      </c>
      <c r="H81" s="3242"/>
      <c r="J81" s="3241">
        <v>98700</v>
      </c>
      <c r="K81" s="3242"/>
      <c r="L81" s="828"/>
      <c r="M81" s="3241"/>
      <c r="N81" s="3242"/>
      <c r="P81" s="3241"/>
      <c r="Q81" s="3242"/>
      <c r="S81" s="3241"/>
      <c r="T81" s="3242"/>
      <c r="V81" s="849"/>
      <c r="W81" s="3342"/>
      <c r="X81" s="3343"/>
      <c r="AZ81" s="744"/>
      <c r="BA81" s="1706">
        <v>81</v>
      </c>
    </row>
    <row r="82" spans="1:53" s="144" customFormat="1" ht="12" customHeight="1">
      <c r="B82" s="144" t="s">
        <v>453</v>
      </c>
      <c r="G82" s="3241">
        <v>75000</v>
      </c>
      <c r="H82" s="3242"/>
      <c r="J82" s="3241">
        <v>37500</v>
      </c>
      <c r="K82" s="3242"/>
      <c r="L82" s="828"/>
      <c r="M82" s="3241"/>
      <c r="N82" s="3242"/>
      <c r="P82" s="3241"/>
      <c r="Q82" s="3242"/>
      <c r="S82" s="3241"/>
      <c r="T82" s="3242"/>
      <c r="V82" s="849"/>
      <c r="W82" s="3342"/>
      <c r="X82" s="3343"/>
      <c r="AZ82" s="1968"/>
      <c r="BA82" s="1706">
        <v>82</v>
      </c>
    </row>
    <row r="83" spans="1:53" s="144" customFormat="1" ht="12" customHeight="1">
      <c r="B83" s="144" t="s">
        <v>1899</v>
      </c>
      <c r="G83" s="3241">
        <v>11500</v>
      </c>
      <c r="H83" s="3242"/>
      <c r="J83" s="3241">
        <v>11500</v>
      </c>
      <c r="K83" s="3242"/>
      <c r="L83" s="828"/>
      <c r="M83" s="3241"/>
      <c r="N83" s="3242"/>
      <c r="P83" s="3241"/>
      <c r="Q83" s="3242"/>
      <c r="S83" s="3241"/>
      <c r="T83" s="3242"/>
      <c r="V83" s="849"/>
      <c r="W83" s="3342"/>
      <c r="X83" s="3343"/>
      <c r="AZ83" s="1968"/>
      <c r="BA83" s="1706">
        <v>83</v>
      </c>
    </row>
    <row r="84" spans="1:53" s="144" customFormat="1" ht="12" customHeight="1">
      <c r="B84" s="144" t="s">
        <v>1201</v>
      </c>
      <c r="G84" s="3241"/>
      <c r="H84" s="3242"/>
      <c r="J84" s="3241"/>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6721</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627200</v>
      </c>
      <c r="H86" s="3339"/>
      <c r="J86" s="3338">
        <f>SUM(J75:J85)</f>
        <v>589700</v>
      </c>
      <c r="K86" s="3339"/>
      <c r="L86" s="283"/>
      <c r="M86" s="3338">
        <f>SUM(M75:M85)</f>
        <v>0</v>
      </c>
      <c r="N86" s="3339"/>
      <c r="P86" s="3338">
        <f>SUM(P75:P85)</f>
        <v>0</v>
      </c>
      <c r="Q86" s="3339"/>
      <c r="S86" s="3338">
        <f>SUM(S75:S85)</f>
        <v>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6945.7659574468089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128695</v>
      </c>
      <c r="H88" s="3231"/>
      <c r="J88" s="3230">
        <v>128695</v>
      </c>
      <c r="K88" s="3231"/>
      <c r="L88" s="828"/>
      <c r="M88" s="3230"/>
      <c r="N88" s="3231"/>
      <c r="P88" s="3230"/>
      <c r="Q88" s="3231"/>
      <c r="S88" s="3230"/>
      <c r="T88" s="3231"/>
      <c r="V88" s="849"/>
      <c r="W88" s="3342"/>
      <c r="X88" s="3343"/>
      <c r="AZ88" s="1968"/>
      <c r="BA88" s="1706">
        <v>88</v>
      </c>
    </row>
    <row r="89" spans="1:53" s="144" customFormat="1" ht="12" customHeight="1">
      <c r="B89" s="144" t="s">
        <v>1195</v>
      </c>
      <c r="G89" s="3241">
        <v>197756</v>
      </c>
      <c r="H89" s="3242"/>
      <c r="J89" s="3241">
        <v>197756</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326451</v>
      </c>
      <c r="H92" s="3339"/>
      <c r="J92" s="3338">
        <f>SUM(J88:J91)</f>
        <v>326451</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26500</v>
      </c>
      <c r="H97" s="3231"/>
      <c r="J97" s="3410"/>
      <c r="K97" s="3410"/>
      <c r="L97" s="828"/>
      <c r="M97" s="3410"/>
      <c r="N97" s="3410"/>
      <c r="P97" s="3410"/>
      <c r="Q97" s="3410"/>
      <c r="S97" s="3230">
        <v>26500</v>
      </c>
      <c r="T97" s="3231"/>
      <c r="V97" s="849"/>
      <c r="W97" s="3342"/>
      <c r="X97" s="3343"/>
      <c r="AZ97" s="1968" t="s">
        <v>6382</v>
      </c>
      <c r="BA97" s="1706">
        <v>97</v>
      </c>
    </row>
    <row r="98" spans="1:53" s="144" customFormat="1" ht="12" customHeight="1">
      <c r="B98" s="144" t="s">
        <v>1199</v>
      </c>
      <c r="G98" s="3241"/>
      <c r="H98" s="3242"/>
      <c r="J98" s="3410"/>
      <c r="K98" s="3410"/>
      <c r="L98" s="828"/>
      <c r="M98" s="3410"/>
      <c r="N98" s="3410"/>
      <c r="P98" s="3410"/>
      <c r="Q98" s="3410"/>
      <c r="S98" s="3241"/>
      <c r="T98" s="3242"/>
      <c r="V98" s="849"/>
      <c r="W98" s="3342"/>
      <c r="X98" s="3343"/>
      <c r="AZ98" s="1968"/>
      <c r="BA98" s="1706">
        <v>98</v>
      </c>
    </row>
    <row r="99" spans="1:53" s="144" customFormat="1" ht="12" customHeight="1">
      <c r="B99" s="144" t="s">
        <v>1200</v>
      </c>
      <c r="G99" s="3241">
        <v>20000</v>
      </c>
      <c r="H99" s="3242"/>
      <c r="J99" s="3410"/>
      <c r="K99" s="3410"/>
      <c r="L99" s="828"/>
      <c r="M99" s="3410"/>
      <c r="N99" s="3410"/>
      <c r="P99" s="3410"/>
      <c r="Q99" s="3410"/>
      <c r="S99" s="3241">
        <v>20000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6721</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46500</v>
      </c>
      <c r="H103" s="3339"/>
      <c r="J103" s="3410"/>
      <c r="K103" s="3410"/>
      <c r="L103" s="283"/>
      <c r="M103" s="3410"/>
      <c r="N103" s="3410"/>
      <c r="P103" s="3410"/>
      <c r="Q103" s="3410"/>
      <c r="S103" s="3338">
        <f>SUM(S97:S102)</f>
        <v>46500</v>
      </c>
      <c r="T103" s="3339"/>
      <c r="V103" s="851">
        <f>SUM(V97:V102)</f>
        <v>0</v>
      </c>
      <c r="W103" s="3351"/>
      <c r="X103" s="3352"/>
      <c r="AZ103" s="1968"/>
      <c r="BA103" s="1706">
        <v>103</v>
      </c>
    </row>
    <row r="104" spans="1:53" s="144" customFormat="1" ht="13.2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5"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6703</v>
      </c>
      <c r="AA105" s="236" t="s">
        <v>6645</v>
      </c>
      <c r="AB105" s="147"/>
      <c r="AC105" s="147"/>
      <c r="AD105" s="1929" t="str">
        <f>'Part V-Revenues &amp; Expenses'!$O$53</f>
        <v>40% of Units at 60% of AMI</v>
      </c>
      <c r="AE105" s="1928"/>
      <c r="AF105" s="1928"/>
      <c r="AZ105" s="1968"/>
      <c r="BA105" s="1706">
        <v>105</v>
      </c>
    </row>
    <row r="106" spans="1:53" s="144" customFormat="1" ht="12.5"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3151</v>
      </c>
      <c r="AB106" s="1931"/>
      <c r="AC106" s="1931"/>
      <c r="AD106" s="1932">
        <f>'Part V-Revenues &amp; Expenses'!$P$67</f>
        <v>47</v>
      </c>
      <c r="AZ106" s="1968" t="s">
        <v>6383</v>
      </c>
      <c r="BA106" s="1706">
        <v>106</v>
      </c>
    </row>
    <row r="107" spans="1:53" s="144" customFormat="1" ht="12.5" customHeight="1">
      <c r="B107" s="144" t="s">
        <v>3318</v>
      </c>
      <c r="G107" s="3241"/>
      <c r="H107" s="3242"/>
      <c r="J107" s="283"/>
      <c r="K107" s="283"/>
      <c r="L107" s="290"/>
      <c r="M107" s="283"/>
      <c r="N107" s="283"/>
      <c r="P107" s="283"/>
      <c r="Q107" s="283"/>
      <c r="S107" s="3241"/>
      <c r="T107" s="3242"/>
      <c r="V107" s="849"/>
      <c r="W107" s="3342"/>
      <c r="X107" s="3343"/>
      <c r="Y107" s="3331"/>
      <c r="Z107" s="301"/>
      <c r="AA107" s="225" t="s">
        <v>6708</v>
      </c>
      <c r="AB107" s="147"/>
      <c r="AC107" s="147"/>
      <c r="AD107" s="147"/>
      <c r="AF107" s="1936" t="s">
        <v>6709</v>
      </c>
      <c r="AZ107" s="1968" t="s">
        <v>6384</v>
      </c>
      <c r="BA107" s="1706">
        <v>107</v>
      </c>
    </row>
    <row r="108" spans="1:53" s="144" customFormat="1" ht="12.5" customHeight="1">
      <c r="B108" s="144" t="s">
        <v>486</v>
      </c>
      <c r="E108" s="3411">
        <f>ROUNDUP('DCA Underwriting Assumptions'!$Q$56*J191,0)</f>
        <v>98000</v>
      </c>
      <c r="F108" s="3412"/>
      <c r="G108" s="3241">
        <v>98000</v>
      </c>
      <c r="H108" s="3242"/>
      <c r="J108" s="764" t="str">
        <f>IF(E108&gt;G108,"WARNING!  LIHTC Allocation Fee proposed is below minimum required.","")</f>
        <v/>
      </c>
      <c r="K108" s="283"/>
      <c r="L108" s="828"/>
      <c r="M108" s="283"/>
      <c r="N108" s="283"/>
      <c r="P108" s="283"/>
      <c r="Q108" s="283"/>
      <c r="S108" s="3241">
        <v>98000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5" customHeight="1">
      <c r="B109" s="144" t="s">
        <v>702</v>
      </c>
      <c r="E109" s="3411">
        <f>AF111+AF115</f>
        <v>37600</v>
      </c>
      <c r="F109" s="3412"/>
      <c r="G109" s="3241">
        <v>37600</v>
      </c>
      <c r="H109" s="3242"/>
      <c r="I109" s="3346" t="str">
        <f>IF(E109&gt;G109,"WARNING!  LIHTC Compliance Fee proposed is below minimum required.","")</f>
        <v/>
      </c>
      <c r="J109" s="3347"/>
      <c r="K109" s="3347"/>
      <c r="L109" s="3347"/>
      <c r="M109" s="3347"/>
      <c r="N109" s="3347"/>
      <c r="O109" s="3347"/>
      <c r="P109" s="3347"/>
      <c r="Q109" s="3347"/>
      <c r="R109" s="3348"/>
      <c r="S109" s="3241">
        <v>37600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5" customHeight="1">
      <c r="B110" s="144" t="s">
        <v>3449</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5" customHeight="1">
      <c r="B111" s="144" t="s">
        <v>6928</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6706</v>
      </c>
      <c r="AC111" s="147"/>
      <c r="AD111" s="1933">
        <f>SUM(AD108:AD110)</f>
        <v>0</v>
      </c>
      <c r="AF111" s="1935">
        <f>SUM(AF108:AF110)</f>
        <v>0</v>
      </c>
      <c r="AZ111" s="1968"/>
      <c r="BA111" s="1706">
        <v>111</v>
      </c>
    </row>
    <row r="112" spans="1:53" s="144" customFormat="1" ht="12.5" customHeight="1">
      <c r="A112" s="303" t="str">
        <f>IF(AND(G112&gt;0,OR(C112="",C112="&lt;Enter detailed description here; use Comments section if needed&gt;")),"X","")</f>
        <v/>
      </c>
      <c r="B112" s="147" t="s">
        <v>6275</v>
      </c>
      <c r="C112" s="3408" t="s">
        <v>6721</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5" customHeight="1" thickBot="1">
      <c r="A113" s="303" t="str">
        <f>IF(AND(G113&gt;0,OR(C113="",C113="&lt;Enter detailed description here; use Comments section if needed&gt;")),"X","")</f>
        <v/>
      </c>
      <c r="B113" s="147" t="s">
        <v>6275</v>
      </c>
      <c r="C113" s="3406" t="s">
        <v>6721</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47</v>
      </c>
      <c r="AF113" s="1934">
        <f>IF($AD$105="Income Averaging",AD113*'DCA Underwriting Assumptions'!$Q$61,AD113*'DCA Underwriting Assumptions'!$Q$60)</f>
        <v>37600</v>
      </c>
      <c r="AZ113" s="1968" t="s">
        <v>6386</v>
      </c>
      <c r="BA113" s="1706">
        <v>113</v>
      </c>
    </row>
    <row r="114" spans="1:53" s="144" customFormat="1" ht="12.5" customHeight="1" thickTop="1">
      <c r="F114" s="281" t="s">
        <v>184</v>
      </c>
      <c r="G114" s="3338">
        <f>SUM(G105:G113)</f>
        <v>153600</v>
      </c>
      <c r="H114" s="3339"/>
      <c r="J114" s="283"/>
      <c r="K114" s="283"/>
      <c r="L114" s="828"/>
      <c r="M114" s="283"/>
      <c r="N114" s="283"/>
      <c r="P114" s="283"/>
      <c r="Q114" s="283"/>
      <c r="S114" s="3338">
        <f>SUM(S105:S113)</f>
        <v>153600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2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47</v>
      </c>
      <c r="AF115" s="1935">
        <f>SUM(AF113:AF114)</f>
        <v>37600</v>
      </c>
      <c r="AZ115" s="1959"/>
      <c r="BA115" s="1706">
        <v>115</v>
      </c>
    </row>
    <row r="116" spans="1:53" s="144" customFormat="1" ht="12.5" customHeight="1">
      <c r="B116" s="144" t="s">
        <v>267</v>
      </c>
      <c r="G116" s="3230"/>
      <c r="H116" s="3231"/>
      <c r="J116" s="3410"/>
      <c r="K116" s="3410"/>
      <c r="L116" s="828"/>
      <c r="M116" s="3410"/>
      <c r="N116" s="3410"/>
      <c r="P116" s="3410"/>
      <c r="Q116" s="3410"/>
      <c r="S116" s="3230"/>
      <c r="T116" s="3231"/>
      <c r="V116" s="849"/>
      <c r="W116" s="3342"/>
      <c r="X116" s="3343"/>
      <c r="AZ116" s="1959"/>
      <c r="BA116" s="1706">
        <v>116</v>
      </c>
    </row>
    <row r="117" spans="1:53" s="144" customFormat="1" ht="12.5"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5" customHeight="1">
      <c r="B118" s="144" t="s">
        <v>2200</v>
      </c>
      <c r="G118" s="3241">
        <v>75000</v>
      </c>
      <c r="H118" s="3242"/>
      <c r="J118" s="3410"/>
      <c r="K118" s="3410"/>
      <c r="L118" s="828"/>
      <c r="M118" s="3410"/>
      <c r="N118" s="3410"/>
      <c r="P118" s="3410"/>
      <c r="Q118" s="3410"/>
      <c r="S118" s="3241">
        <v>75000</v>
      </c>
      <c r="T118" s="3242"/>
      <c r="V118" s="849"/>
      <c r="W118" s="3342"/>
      <c r="X118" s="3343"/>
      <c r="AZ118" s="1959"/>
      <c r="BA118" s="1706">
        <v>118</v>
      </c>
    </row>
    <row r="119" spans="1:53" s="144" customFormat="1" ht="12.5" customHeight="1" thickBot="1">
      <c r="A119" s="303" t="str">
        <f>IF(AND(G119&gt;0,OR(C119="",C119="&lt;Enter detailed description here; use Comments section if needed&gt;")),"X","")</f>
        <v/>
      </c>
      <c r="B119" s="147" t="s">
        <v>6275</v>
      </c>
      <c r="C119" s="3377" t="s">
        <v>6721</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5" customHeight="1" thickTop="1">
      <c r="F120" s="281" t="s">
        <v>184</v>
      </c>
      <c r="G120" s="3338">
        <f>SUM(G116:G119)</f>
        <v>75000</v>
      </c>
      <c r="H120" s="3339"/>
      <c r="J120" s="3410"/>
      <c r="K120" s="3410"/>
      <c r="L120" s="828"/>
      <c r="M120" s="3410"/>
      <c r="N120" s="3410"/>
      <c r="P120" s="3410"/>
      <c r="Q120" s="3410"/>
      <c r="S120" s="3338">
        <f>SUM(S116:S119)</f>
        <v>75000</v>
      </c>
      <c r="T120" s="3339"/>
      <c r="V120" s="851">
        <f>SUM(V116:V119)</f>
        <v>0</v>
      </c>
      <c r="W120" s="3351"/>
      <c r="X120" s="3352"/>
      <c r="AC120" s="3362" t="s">
        <v>3922</v>
      </c>
      <c r="AD120" s="3362" t="s">
        <v>3923</v>
      </c>
      <c r="AE120" s="3376" t="s">
        <v>3926</v>
      </c>
      <c r="AF120" s="3368" t="s">
        <v>3924</v>
      </c>
      <c r="AG120" s="3376" t="s">
        <v>3915</v>
      </c>
      <c r="AH120" s="3488" t="s">
        <v>6742</v>
      </c>
      <c r="AI120" s="3488"/>
      <c r="AZ120" s="1959"/>
      <c r="BA120" s="1706">
        <v>120</v>
      </c>
    </row>
    <row r="121" spans="1:53" s="144" customFormat="1" ht="13.2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5" customHeight="1">
      <c r="B122" s="144" t="s">
        <v>1724</v>
      </c>
      <c r="F122" s="323">
        <f>IF($G$127=0,0,G122/$G$127)</f>
        <v>0</v>
      </c>
      <c r="G122" s="3413"/>
      <c r="H122" s="3413"/>
      <c r="J122" s="3414"/>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1292500</v>
      </c>
      <c r="AF122" s="3370">
        <f>SUM(AE122:AE124)</f>
        <v>1292500</v>
      </c>
      <c r="AG122" s="3497">
        <f>'DCA Underwriting Assumptions'!$Q$74</f>
        <v>2000000</v>
      </c>
      <c r="AH122" s="3489">
        <f>MIN(AF122,AG122)</f>
        <v>1292500</v>
      </c>
      <c r="AI122" s="3490"/>
      <c r="AZ122" s="1959"/>
      <c r="BA122" s="1706">
        <v>122</v>
      </c>
    </row>
    <row r="123" spans="1:53" s="144" customFormat="1" ht="12.5" customHeight="1">
      <c r="B123" s="144" t="s">
        <v>3411</v>
      </c>
      <c r="F123" s="949"/>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5"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5"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1292500</v>
      </c>
      <c r="AF125" s="3370">
        <f>SUM(AE125:AE127)</f>
        <v>1292500</v>
      </c>
      <c r="AG125" s="3370">
        <f>'DCA Underwriting Assumptions'!$Q$75</f>
        <v>3500000</v>
      </c>
      <c r="AH125" s="3489">
        <f>MIN(AF125,AG125)</f>
        <v>1292500</v>
      </c>
      <c r="AI125" s="3490"/>
      <c r="AZ125" s="1959"/>
      <c r="BA125" s="1706">
        <v>125</v>
      </c>
    </row>
    <row r="126" spans="1:53" s="144" customFormat="1" ht="12.5" customHeight="1" thickBot="1">
      <c r="B126" s="144" t="s">
        <v>1717</v>
      </c>
      <c r="F126" s="323">
        <f>IF($G$127=0,0,G126/$G$127)</f>
        <v>1</v>
      </c>
      <c r="G126" s="3189">
        <v>1292500</v>
      </c>
      <c r="H126" s="3190"/>
      <c r="J126" s="3189">
        <v>1292500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5" customHeight="1" thickTop="1">
      <c r="A127" s="1310" t="str">
        <f>IF(G127&gt;E127,"DF over limit!  Round down/Enter nbr.","")</f>
        <v/>
      </c>
      <c r="B127" s="1953"/>
      <c r="D127" s="485" t="s">
        <v>3921</v>
      </c>
      <c r="E127" s="1954">
        <f>IF(AF122+AF125=0,"Fill in Rent Chart!",IF(F121="9%",AH122,IF(F121="4%",AH125,"Select App Type!")))</f>
        <v>1292500</v>
      </c>
      <c r="F127" s="281" t="s">
        <v>184</v>
      </c>
      <c r="G127" s="3338">
        <f>SUM(G122:G126)</f>
        <v>1292500</v>
      </c>
      <c r="H127" s="3416"/>
      <c r="J127" s="3338">
        <f>SUM(J122:J126)</f>
        <v>1292500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2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5" customHeight="1">
      <c r="B129" s="144" t="s">
        <v>241</v>
      </c>
      <c r="G129" s="3230">
        <v>23500</v>
      </c>
      <c r="H129" s="3231"/>
      <c r="J129" s="291"/>
      <c r="K129" s="291"/>
      <c r="L129" s="291"/>
      <c r="M129" s="291"/>
      <c r="N129" s="291"/>
      <c r="P129" s="291"/>
      <c r="Q129" s="291"/>
      <c r="S129" s="3230">
        <v>23500</v>
      </c>
      <c r="T129" s="3231"/>
      <c r="V129" s="849"/>
      <c r="W129" s="3342"/>
      <c r="X129" s="3343"/>
      <c r="Z129" s="1306"/>
      <c r="AB129" s="44"/>
      <c r="AC129"/>
      <c r="AD129"/>
      <c r="AF129"/>
      <c r="AG129"/>
      <c r="AH129"/>
      <c r="AI129"/>
      <c r="AJ129"/>
      <c r="AK129"/>
      <c r="AZ129" s="1968" t="s">
        <v>6390</v>
      </c>
      <c r="BA129" s="1706">
        <v>129</v>
      </c>
    </row>
    <row r="130" spans="1:53" s="144" customFormat="1" ht="12.5" customHeight="1">
      <c r="B130" s="144" t="s">
        <v>1436</v>
      </c>
      <c r="F130" s="365">
        <f>+'Part V-Revenues &amp; Expenses'!$Q$228*('DCA Underwriting Assumptions'!$Q$89/12)</f>
        <v>85161.25</v>
      </c>
      <c r="G130" s="3241">
        <v>85161</v>
      </c>
      <c r="H130" s="3242"/>
      <c r="J130" s="765" t="str">
        <f>IF(E130&gt;G130,"WARNING! Rent-Up Reserves proposed is below minimum - add comment.","")</f>
        <v/>
      </c>
      <c r="K130" s="765"/>
      <c r="L130" s="828"/>
      <c r="M130" s="750"/>
      <c r="N130" s="750"/>
      <c r="P130" s="750"/>
      <c r="Q130" s="750"/>
      <c r="S130" s="3241">
        <v>85161</v>
      </c>
      <c r="T130" s="3242"/>
      <c r="V130" s="849"/>
      <c r="W130" s="3342"/>
      <c r="X130" s="3343"/>
      <c r="Y130"/>
      <c r="Z130" s="1307"/>
      <c r="AB130" s="236"/>
      <c r="AD130"/>
      <c r="AG130"/>
      <c r="AH130"/>
      <c r="AI130"/>
      <c r="AZ130" s="1968"/>
      <c r="BA130" s="1706">
        <v>130</v>
      </c>
    </row>
    <row r="131" spans="1:53" s="144" customFormat="1" ht="12.5" customHeight="1">
      <c r="B131" s="144" t="s">
        <v>632</v>
      </c>
      <c r="F131" s="365">
        <f>'Part V-Revenues &amp; Expenses'!$Q$228*('DCA Underwriting Assumptions'!$Q$88/12)+('Part VI-Pro Forma'!$B$26+'Part VI-Pro Forma'!$B$27+'Part VI-Pro Forma'!$B$28+'Part VI-Pro Forma'!$B$29)*'DCA Underwriting Assumptions'!$Q$87/(-12)</f>
        <v>264113.30860683444</v>
      </c>
      <c r="G131" s="3241">
        <v>264113</v>
      </c>
      <c r="H131" s="3242"/>
      <c r="J131" s="765" t="str">
        <f>IF(E131&gt;G131,"WARNING! ODR proposed is below minimum - add comment.","")</f>
        <v/>
      </c>
      <c r="K131" s="290"/>
      <c r="L131" s="290"/>
      <c r="M131" s="290"/>
      <c r="N131" s="290"/>
      <c r="P131" s="290"/>
      <c r="Q131" s="290"/>
      <c r="S131" s="3241">
        <v>264113</v>
      </c>
      <c r="T131" s="3242"/>
      <c r="V131" s="849"/>
      <c r="W131" s="3342"/>
      <c r="X131" s="3343"/>
      <c r="Y131"/>
      <c r="Z131" s="1307"/>
      <c r="AB131" s="236"/>
      <c r="AD131"/>
      <c r="AG131"/>
      <c r="AH131"/>
      <c r="AI131"/>
      <c r="AZ131" s="1968"/>
      <c r="BA131" s="1706">
        <v>131</v>
      </c>
    </row>
    <row r="132" spans="1:53" s="144" customFormat="1" ht="12.5" customHeight="1">
      <c r="B132" s="144" t="s">
        <v>1170</v>
      </c>
      <c r="G132" s="3241"/>
      <c r="H132" s="3242"/>
      <c r="J132" s="291"/>
      <c r="K132" s="291"/>
      <c r="L132" s="291"/>
      <c r="M132" s="291"/>
      <c r="N132" s="291"/>
      <c r="P132" s="291"/>
      <c r="Q132" s="291"/>
      <c r="S132" s="3241"/>
      <c r="T132" s="3242"/>
      <c r="V132" s="849"/>
      <c r="W132" s="3342"/>
      <c r="X132" s="3343"/>
      <c r="AZ132" s="1968" t="s">
        <v>6391</v>
      </c>
      <c r="BA132" s="1706">
        <v>132</v>
      </c>
    </row>
    <row r="133" spans="1:53" s="144" customFormat="1" ht="12.5" customHeight="1">
      <c r="B133" s="144" t="s">
        <v>1171</v>
      </c>
      <c r="E133" s="658" t="s">
        <v>3137</v>
      </c>
      <c r="F133" s="365">
        <f>IF('Part V-Revenues &amp; Expenses'!$P$67=0,0,G133/'Part V-Revenues &amp; Expenses'!$P$67)</f>
        <v>957.44680851063833</v>
      </c>
      <c r="G133" s="3241">
        <v>45000</v>
      </c>
      <c r="H133" s="3242"/>
      <c r="J133" s="3230">
        <v>45000</v>
      </c>
      <c r="K133" s="3231"/>
      <c r="L133" s="828"/>
      <c r="M133" s="3230"/>
      <c r="N133" s="3231"/>
      <c r="P133" s="3230"/>
      <c r="Q133" s="3231"/>
      <c r="S133" s="3241"/>
      <c r="T133" s="3242"/>
      <c r="V133" s="849"/>
      <c r="W133" s="3342"/>
      <c r="X133" s="3343"/>
      <c r="AZ133" s="1968" t="s">
        <v>6392</v>
      </c>
      <c r="BA133" s="1706">
        <v>133</v>
      </c>
    </row>
    <row r="134" spans="1:53" s="144" customFormat="1" ht="12.5" customHeight="1" thickBot="1">
      <c r="A134" s="303" t="str">
        <f>IF(AND(G134&gt;0,OR(C134="",C134="&lt;Enter detailed description here; use Comments section if needed&gt;")),"X","")</f>
        <v/>
      </c>
      <c r="B134" s="147" t="s">
        <v>6275</v>
      </c>
      <c r="C134" s="3377" t="s">
        <v>7128</v>
      </c>
      <c r="D134" s="3377"/>
      <c r="E134" s="3377"/>
      <c r="F134" s="3378"/>
      <c r="G134" s="3189">
        <v>34500</v>
      </c>
      <c r="H134" s="3190"/>
      <c r="J134" s="3340"/>
      <c r="K134" s="3341"/>
      <c r="L134" s="828"/>
      <c r="M134" s="3189"/>
      <c r="N134" s="3190"/>
      <c r="P134" s="3189"/>
      <c r="Q134" s="3190"/>
      <c r="S134" s="3189">
        <v>34500</v>
      </c>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5" customHeight="1" thickTop="1">
      <c r="B135" s="292"/>
      <c r="F135" s="281" t="s">
        <v>184</v>
      </c>
      <c r="G135" s="3338">
        <f>SUM(G129:G134)</f>
        <v>452274</v>
      </c>
      <c r="H135" s="3339"/>
      <c r="J135" s="3338">
        <f>SUM(J133:J134)</f>
        <v>45000</v>
      </c>
      <c r="K135" s="3339"/>
      <c r="L135" s="828"/>
      <c r="M135" s="3338">
        <f>SUM(M133:M134)</f>
        <v>0</v>
      </c>
      <c r="N135" s="3339"/>
      <c r="P135" s="3338">
        <f>SUM(P133:P134)</f>
        <v>0</v>
      </c>
      <c r="Q135" s="3339"/>
      <c r="S135" s="3338">
        <f>SUM(S129:S134)</f>
        <v>407274</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2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5"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5" customHeight="1" thickBot="1">
      <c r="A143" s="303" t="str">
        <f>IF(AND(G143&gt;0,OR(C143="",C143="&lt;Enter detailed description here; use Comments section if needed&gt;")),"X","")</f>
        <v/>
      </c>
      <c r="B143" s="147" t="s">
        <v>6275</v>
      </c>
      <c r="C143" s="3377" t="s">
        <v>6721</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5"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20365239</v>
      </c>
      <c r="H146" s="3487"/>
      <c r="J146" s="3486">
        <f>J18+J24+J28+J36+J41+J46+J55+J73+J86+J92+J103+J114+J120+J127+J135+J144</f>
        <v>14679561</v>
      </c>
      <c r="K146" s="3487"/>
      <c r="M146" s="3486">
        <f>M18+M24+M28+M36+M41+M46+M55+M73+M86+M92+M103+M114+M120+M127+M135+M144</f>
        <v>0</v>
      </c>
      <c r="N146" s="3487"/>
      <c r="P146" s="3486">
        <f>P18+P24+P28+P36+P41+P46+P55+P73+P86+P92+P103+P114+P120+P127+P135+P144</f>
        <v>0</v>
      </c>
      <c r="Q146" s="3487"/>
      <c r="S146" s="3486">
        <f>S18+S24+S28+S36+S41+S46+S55+S73+S86+S92+S103+S114+S120+S127+S135+S144</f>
        <v>5715678</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 customHeight="1">
      <c r="B148" s="391" t="s">
        <v>2488</v>
      </c>
      <c r="C148" s="389"/>
      <c r="D148" s="3483">
        <f>IF('Part V-Revenues &amp; Expenses'!$P$67=0,0,G146/'Part V-Revenues &amp; Expenses'!$P$67)</f>
        <v>433302.95744680852</v>
      </c>
      <c r="E148" s="3483"/>
      <c r="F148" s="390" t="s">
        <v>2487</v>
      </c>
      <c r="G148" s="3484">
        <f>IF('Part V-Revenues &amp; Expenses'!$K$175=0,0,G146/'Part V-Revenues &amp; Expenses'!$K$175)</f>
        <v>502.22537607891491</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 customHeight="1">
      <c r="B153" s="246" t="s">
        <v>138</v>
      </c>
      <c r="I153" s="295"/>
      <c r="J153" s="3500"/>
      <c r="K153" s="3501"/>
      <c r="P153" s="3500"/>
      <c r="Q153" s="3501"/>
      <c r="V153" s="849"/>
      <c r="W153" s="3342"/>
      <c r="X153" s="3343"/>
      <c r="AZ153" s="1968"/>
      <c r="BA153" s="1706">
        <v>153</v>
      </c>
    </row>
    <row r="154" spans="1:53" s="144" customFormat="1" ht="14" customHeight="1">
      <c r="B154" s="144" t="s">
        <v>1998</v>
      </c>
      <c r="I154" s="295"/>
      <c r="J154" s="3502"/>
      <c r="K154" s="3503"/>
      <c r="P154" s="3502"/>
      <c r="Q154" s="3503"/>
      <c r="V154" s="849"/>
      <c r="W154" s="3342"/>
      <c r="X154" s="3343"/>
      <c r="AZ154" s="1968"/>
      <c r="BA154" s="1706">
        <v>154</v>
      </c>
    </row>
    <row r="155" spans="1:53" s="144" customFormat="1" ht="14" customHeight="1">
      <c r="B155" s="144" t="s">
        <v>1727</v>
      </c>
      <c r="I155" s="295"/>
      <c r="J155" s="3502"/>
      <c r="K155" s="3503"/>
      <c r="P155" s="3502"/>
      <c r="Q155" s="3503"/>
      <c r="V155" s="849"/>
      <c r="W155" s="3342"/>
      <c r="X155" s="3343"/>
      <c r="AZ155" s="1968"/>
      <c r="BA155" s="1706">
        <v>155</v>
      </c>
    </row>
    <row r="156" spans="1:53" s="144" customFormat="1" ht="14" customHeight="1">
      <c r="B156" s="144" t="s">
        <v>1728</v>
      </c>
      <c r="I156" s="295"/>
      <c r="J156" s="3502"/>
      <c r="K156" s="3503"/>
      <c r="P156" s="3502"/>
      <c r="Q156" s="3503"/>
      <c r="V156" s="849"/>
      <c r="W156" s="3342"/>
      <c r="X156" s="3343"/>
      <c r="AZ156" s="1968"/>
      <c r="BA156" s="1706">
        <v>156</v>
      </c>
    </row>
    <row r="157" spans="1:53" s="144" customFormat="1" ht="14" customHeight="1">
      <c r="B157" s="144" t="s">
        <v>243</v>
      </c>
      <c r="I157" s="295"/>
      <c r="J157" s="3502"/>
      <c r="K157" s="3503"/>
      <c r="P157" s="3502"/>
      <c r="Q157" s="3503"/>
      <c r="V157" s="849"/>
      <c r="W157" s="3342"/>
      <c r="X157" s="3343"/>
      <c r="AZ157" s="1968"/>
      <c r="BA157" s="1706">
        <v>157</v>
      </c>
    </row>
    <row r="158" spans="1:53" s="144" customFormat="1" ht="14"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 customHeight="1">
      <c r="B162" s="144" t="s">
        <v>1665</v>
      </c>
      <c r="J162" s="3334">
        <f>J146</f>
        <v>14679561</v>
      </c>
      <c r="K162" s="3335"/>
      <c r="M162" s="3336">
        <f>M146</f>
        <v>0</v>
      </c>
      <c r="N162" s="3337"/>
      <c r="P162" s="3334">
        <f>P146</f>
        <v>0</v>
      </c>
      <c r="Q162" s="3335"/>
      <c r="R162" s="3469" t="s">
        <v>3773</v>
      </c>
      <c r="S162" s="3435"/>
      <c r="T162" s="3435"/>
      <c r="V162" s="849"/>
      <c r="W162" s="3342"/>
      <c r="X162" s="3343"/>
      <c r="AZ162" s="1968"/>
      <c r="BA162" s="1706">
        <v>162</v>
      </c>
    </row>
    <row r="163" spans="1:53" s="144" customFormat="1" ht="14"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 customHeight="1">
      <c r="B164" s="144" t="s">
        <v>2053</v>
      </c>
      <c r="J164" s="3355">
        <f>J162-J163</f>
        <v>14679561</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 customHeight="1">
      <c r="B165" s="144" t="s">
        <v>1390</v>
      </c>
      <c r="G165" s="248" t="s">
        <v>1593</v>
      </c>
      <c r="H165" s="3419" t="s">
        <v>7059</v>
      </c>
      <c r="I165" s="3420"/>
      <c r="J165" s="3421">
        <v>1.3</v>
      </c>
      <c r="K165" s="3422"/>
      <c r="M165" s="3423"/>
      <c r="N165" s="3423"/>
      <c r="P165" s="3421"/>
      <c r="Q165" s="3422"/>
      <c r="R165" s="3470" t="s">
        <v>3204</v>
      </c>
      <c r="S165" s="3471"/>
      <c r="T165" s="3472"/>
      <c r="U165" s="1170"/>
      <c r="V165" s="849"/>
      <c r="W165" s="3342"/>
      <c r="X165" s="3343"/>
      <c r="AZ165" s="1968"/>
      <c r="BA165" s="1706">
        <v>165</v>
      </c>
    </row>
    <row r="166" spans="1:53" s="144" customFormat="1" ht="14" customHeight="1">
      <c r="B166" s="144" t="s">
        <v>1903</v>
      </c>
      <c r="J166" s="3355">
        <f>J164*J165</f>
        <v>19083429.300000001</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 customHeight="1">
      <c r="B167" s="144" t="s">
        <v>2339</v>
      </c>
      <c r="J167" s="3424">
        <f>MIN('Part V-Revenues &amp; Expenses'!$P$63/'Part V-Revenues &amp; Expenses'!$P$65,'Part V-Revenues &amp; Expenses'!$P$164/'Part V-Revenues &amp; Expenses'!$P$166)</f>
        <v>0.7706535141800247</v>
      </c>
      <c r="K167" s="3425"/>
      <c r="M167" s="3424">
        <f>MIN('Part V-Revenues &amp; Expenses'!$P$63/'Part V-Revenues &amp; Expenses'!$P$65,'Part V-Revenues &amp; Expenses'!$P$164/'Part V-Revenues &amp; Expenses'!$P$166)</f>
        <v>0.7706535141800247</v>
      </c>
      <c r="N167" s="3425"/>
      <c r="P167" s="3424">
        <f>MIN('Part V-Revenues &amp; Expenses'!$P$63/'Part V-Revenues &amp; Expenses'!$P$65,'Part V-Revenues &amp; Expenses'!$P$164/'Part V-Revenues &amp; Expenses'!$P$166)</f>
        <v>0.7706535141800247</v>
      </c>
      <c r="Q167" s="3425"/>
      <c r="R167" s="3476"/>
      <c r="S167" s="3477"/>
      <c r="T167" s="3478"/>
      <c r="V167" s="849"/>
      <c r="W167" s="3342"/>
      <c r="X167" s="3343"/>
      <c r="AZ167" s="1968"/>
      <c r="BA167" s="1706">
        <v>167</v>
      </c>
    </row>
    <row r="168" spans="1:53" s="144" customFormat="1" ht="14" customHeight="1">
      <c r="B168" s="144" t="s">
        <v>1895</v>
      </c>
      <c r="J168" s="3355">
        <f>J166*J167</f>
        <v>14706711.85265105</v>
      </c>
      <c r="K168" s="3356"/>
      <c r="M168" s="3355">
        <f>M166*M167</f>
        <v>0</v>
      </c>
      <c r="N168" s="3356"/>
      <c r="P168" s="3355">
        <f>P166*P167</f>
        <v>0</v>
      </c>
      <c r="Q168" s="3356"/>
      <c r="V168" s="849"/>
      <c r="W168" s="3342"/>
      <c r="X168" s="3343"/>
      <c r="AZ168" s="1968"/>
      <c r="BA168" s="1706">
        <v>168</v>
      </c>
    </row>
    <row r="169" spans="1:53" s="144" customFormat="1" ht="14" customHeight="1">
      <c r="B169" s="144" t="s">
        <v>1896</v>
      </c>
      <c r="J169" s="3421">
        <v>0.09</v>
      </c>
      <c r="K169" s="3422"/>
      <c r="M169" s="3421"/>
      <c r="N169" s="3422"/>
      <c r="P169" s="3421"/>
      <c r="Q169" s="3422"/>
      <c r="V169" s="849"/>
      <c r="W169" s="3342"/>
      <c r="X169" s="3343"/>
      <c r="AZ169" s="1968"/>
      <c r="BA169" s="1706">
        <v>169</v>
      </c>
    </row>
    <row r="170" spans="1:53" s="144" customFormat="1" ht="14" customHeight="1" thickBot="1">
      <c r="B170" s="144" t="s">
        <v>2340</v>
      </c>
      <c r="J170" s="3426">
        <f>J168*J169</f>
        <v>1323604.0667385946</v>
      </c>
      <c r="K170" s="3427"/>
      <c r="M170" s="3426">
        <f>M168*M169</f>
        <v>0</v>
      </c>
      <c r="N170" s="3427"/>
      <c r="P170" s="3426">
        <f>P168*P169</f>
        <v>0</v>
      </c>
      <c r="Q170" s="3427"/>
      <c r="V170" s="856"/>
      <c r="W170" s="3349"/>
      <c r="X170" s="3350"/>
      <c r="AZ170" s="1968"/>
      <c r="BA170" s="1706">
        <v>170</v>
      </c>
    </row>
    <row r="171" spans="1:53" s="144" customFormat="1" ht="14" customHeight="1" thickBot="1">
      <c r="B171" s="243" t="s">
        <v>1339</v>
      </c>
      <c r="J171" s="3314">
        <f>ROUNDDOWN(J170+M170+P170,0)</f>
        <v>1323604</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20365239</v>
      </c>
      <c r="K176" s="3452"/>
      <c r="L176" s="3335"/>
      <c r="N176" s="3431" t="s">
        <v>6716</v>
      </c>
      <c r="O176" s="3432"/>
      <c r="P176" s="3432"/>
      <c r="Q176" s="3433"/>
      <c r="S176" s="3448" t="s">
        <v>3187</v>
      </c>
      <c r="T176" s="3449"/>
      <c r="V176" s="849"/>
      <c r="W176" s="3342"/>
      <c r="X176" s="3343"/>
      <c r="AZ176" s="1968"/>
      <c r="BA176" s="1706">
        <v>176</v>
      </c>
    </row>
    <row r="177" spans="1:53" s="144" customFormat="1" ht="14" customHeight="1">
      <c r="B177" s="144" t="s">
        <v>252</v>
      </c>
      <c r="J177" s="3355">
        <f>'Part II-Sources of Funds'!$I$60-'Part II-Sources of Funds'!$I$44-'Part II-Sources of Funds'!$I$45-'Part II-Sources of Funds'!$I$51-'Part II-Sources of Funds'!$I$52</f>
        <v>2650000</v>
      </c>
      <c r="K177" s="3453"/>
      <c r="L177" s="3356"/>
      <c r="M177" s="1970"/>
      <c r="N177" s="3434"/>
      <c r="O177" s="3435"/>
      <c r="P177" s="3435"/>
      <c r="Q177" s="3436"/>
      <c r="S177" s="3450"/>
      <c r="T177" s="3451"/>
      <c r="V177" s="849"/>
      <c r="W177" s="3342"/>
      <c r="X177" s="3343"/>
      <c r="AZ177" s="1968"/>
      <c r="BA177" s="1706">
        <v>177</v>
      </c>
    </row>
    <row r="178" spans="1:53" s="144" customFormat="1" ht="14" customHeight="1">
      <c r="B178" s="144" t="s">
        <v>2064</v>
      </c>
      <c r="J178" s="3454">
        <f>+J176-J177</f>
        <v>17715239</v>
      </c>
      <c r="K178" s="3455"/>
      <c r="L178" s="3456"/>
      <c r="M178" s="1970"/>
      <c r="N178" s="3437"/>
      <c r="O178" s="3438"/>
      <c r="P178" s="3438"/>
      <c r="Q178" s="3439"/>
      <c r="S178" s="3450"/>
      <c r="T178" s="3451"/>
      <c r="V178" s="849"/>
      <c r="W178" s="3342"/>
      <c r="X178" s="3343"/>
      <c r="AZ178" s="1968"/>
      <c r="BA178" s="1706">
        <v>178</v>
      </c>
    </row>
    <row r="179" spans="1:53" s="144" customFormat="1" ht="14"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 customHeight="1">
      <c r="B180" s="144" t="s">
        <v>1210</v>
      </c>
      <c r="J180" s="3353">
        <f>J178/10</f>
        <v>1771523.9</v>
      </c>
      <c r="K180" s="3357"/>
      <c r="L180" s="3354"/>
      <c r="N180" s="369"/>
      <c r="O180" s="369"/>
      <c r="P180" s="369"/>
      <c r="Q180" s="369"/>
      <c r="R180" s="369"/>
      <c r="V180" s="849"/>
      <c r="W180" s="3342"/>
      <c r="X180" s="3343"/>
      <c r="AZ180" s="1968"/>
      <c r="BA180" s="1706">
        <v>180</v>
      </c>
    </row>
    <row r="181" spans="1:53" s="144" customFormat="1" ht="14" customHeight="1">
      <c r="M181" s="145"/>
      <c r="N181" s="3185" t="s">
        <v>1211</v>
      </c>
      <c r="O181" s="3185"/>
      <c r="Q181" s="3185" t="s">
        <v>1671</v>
      </c>
      <c r="R181" s="3185"/>
      <c r="V181" s="849"/>
      <c r="W181" s="3342"/>
      <c r="X181" s="3343"/>
      <c r="Z181" s="1819" t="s">
        <v>1646</v>
      </c>
      <c r="AZ181" s="1968"/>
      <c r="BA181" s="1706">
        <v>181</v>
      </c>
    </row>
    <row r="182" spans="1:53" s="144" customFormat="1" ht="14" customHeight="1" thickBot="1">
      <c r="B182" s="144" t="s">
        <v>1389</v>
      </c>
      <c r="J182" s="3440">
        <f>N182+Q182</f>
        <v>1.4100000000000001</v>
      </c>
      <c r="K182" s="3441"/>
      <c r="L182" s="3442"/>
      <c r="M182" s="248" t="s">
        <v>1212</v>
      </c>
      <c r="N182" s="3443">
        <v>0.86</v>
      </c>
      <c r="O182" s="3444"/>
      <c r="P182" s="248" t="s">
        <v>570</v>
      </c>
      <c r="Q182" s="3443">
        <v>0.55000000000000004</v>
      </c>
      <c r="R182" s="3444"/>
      <c r="V182" s="849"/>
      <c r="W182" s="3342"/>
      <c r="X182" s="3343"/>
      <c r="Z182" s="1820">
        <f>'DCA Underwriting Assumptions'!Q114</f>
        <v>1105000</v>
      </c>
      <c r="AZ182" s="1968"/>
      <c r="BA182" s="1706">
        <v>182</v>
      </c>
    </row>
    <row r="183" spans="1:53" s="144" customFormat="1" ht="14" customHeight="1" thickBot="1">
      <c r="B183" s="243" t="s">
        <v>1340</v>
      </c>
      <c r="J183" s="3314">
        <f>ROUNDDOWN(IF(J182=0,"",J180/J182),0)</f>
        <v>1256399</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25" customHeight="1">
      <c r="B187" s="243" t="s">
        <v>6715</v>
      </c>
      <c r="J187" s="3445">
        <v>1225000</v>
      </c>
      <c r="K187" s="3446"/>
      <c r="L187" s="3447"/>
      <c r="Q187" s="147" t="s">
        <v>6247</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25" customHeight="1">
      <c r="B189" s="243" t="s">
        <v>4073</v>
      </c>
      <c r="J189" s="3445">
        <v>1225000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25" customHeight="1">
      <c r="A191" s="344"/>
      <c r="B191" s="344" t="s">
        <v>4074</v>
      </c>
      <c r="D191" s="145"/>
      <c r="E191" s="145"/>
      <c r="F191" s="246"/>
      <c r="J191" s="3460">
        <f>IF(J189="",0,+MIN(J187,J189))</f>
        <v>1225000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7066</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75" customHeight="1">
      <c r="BA199" s="1745"/>
    </row>
    <row r="200" spans="1:53" s="144" customFormat="1" ht="14.75" customHeight="1">
      <c r="AZ200" s="1968"/>
      <c r="BA200" s="1739"/>
    </row>
    <row r="201" spans="1:53" s="144" customFormat="1" ht="14.75" customHeight="1">
      <c r="AZ201" s="1968"/>
      <c r="BA201" s="1745"/>
    </row>
    <row r="202" spans="1:53" s="144" customFormat="1" ht="14.75" customHeight="1">
      <c r="AZ202" s="1968"/>
      <c r="BA202" s="1745"/>
    </row>
    <row r="203" spans="1:53" ht="14.75" customHeight="1">
      <c r="AZ203" s="1968"/>
      <c r="BA203" s="1745"/>
    </row>
    <row r="204" spans="1:53" s="144" customFormat="1" ht="14.75" customHeight="1">
      <c r="A204" s="222"/>
      <c r="AZ204" s="1968"/>
      <c r="BA204" s="1745"/>
    </row>
    <row r="205" spans="1:53" ht="14.75" customHeight="1">
      <c r="AZ205" s="1968"/>
      <c r="BA205" s="1745"/>
    </row>
    <row r="206" spans="1:53" s="144" customFormat="1" ht="14.75" customHeight="1">
      <c r="AZ206" s="1968"/>
      <c r="BA206" s="1745"/>
    </row>
    <row r="207" spans="1:53" s="144" customFormat="1" ht="14.75" customHeight="1">
      <c r="A207" s="222"/>
      <c r="AZ207" s="1968"/>
      <c r="BA207" s="1745"/>
    </row>
    <row r="208" spans="1:53" s="144" customFormat="1" ht="14.75" customHeight="1">
      <c r="A208" s="375"/>
      <c r="AZ208" s="1968"/>
      <c r="BA208" s="1745"/>
    </row>
    <row r="209" spans="1:53" s="144" customFormat="1" ht="14.75" customHeight="1">
      <c r="AZ209" s="744"/>
      <c r="BA209" s="1745"/>
    </row>
    <row r="210" spans="1:53" s="144" customFormat="1" ht="14.75" customHeight="1">
      <c r="A210" s="260"/>
      <c r="AZ210" s="744"/>
      <c r="BA210" s="1739"/>
    </row>
    <row r="211" spans="1:53" s="144" customFormat="1" ht="14.75" customHeight="1">
      <c r="A211" s="260"/>
      <c r="AZ211" s="744"/>
      <c r="BA211" s="1739"/>
    </row>
    <row r="212" spans="1:53" s="144" customFormat="1" ht="14.75" customHeight="1">
      <c r="A212" s="260"/>
      <c r="AZ212" s="744"/>
      <c r="BA212" s="1739"/>
    </row>
    <row r="213" spans="1:53" s="144" customFormat="1" ht="14.75" customHeight="1">
      <c r="AZ213" s="744"/>
      <c r="BA213" s="1739"/>
    </row>
    <row r="214" spans="1:53" s="144" customFormat="1" ht="14.75" customHeight="1">
      <c r="AZ214" s="744"/>
      <c r="BA214" s="1739"/>
    </row>
    <row r="215" spans="1:53" ht="14.75" customHeight="1"/>
    <row r="216" spans="1:53" ht="14.75" customHeight="1"/>
    <row r="217" spans="1:53" ht="14.75" customHeight="1">
      <c r="AZ217" s="1968"/>
    </row>
    <row r="218" spans="1:53" ht="14.75" customHeight="1">
      <c r="BA218" s="1745"/>
    </row>
    <row r="219" spans="1:53" ht="14.75" customHeight="1"/>
    <row r="220" spans="1:53" ht="14.75" customHeight="1"/>
    <row r="221" spans="1:53" ht="14.75" customHeight="1"/>
    <row r="222" spans="1:53" ht="14.75" customHeight="1"/>
    <row r="223" spans="1:53" s="144" customFormat="1" ht="14.75" customHeight="1">
      <c r="AZ223" s="744"/>
      <c r="BA223" s="1739"/>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80"/>
      <c r="L237" s="144"/>
    </row>
    <row r="238" spans="11:12" ht="14.7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5" zoomScaleNormal="100" workbookViewId="0">
      <selection activeCell="H65" sqref="H65"/>
    </sheetView>
  </sheetViews>
  <sheetFormatPr baseColWidth="10" defaultColWidth="9.33203125" defaultRowHeight="13"/>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6">
      <c r="A1" s="3504" t="str">
        <f>CONCATENATE("PART THREE (B) -  OTHER COSTS","  -  ",'Part I-Project Identification'!$O$7," - ",'Part I-Project Identification'!$F$25,"  -  ",'Part I-Project Identification'!$F$26,"  -  ",'Part I-Project Identification'!$J$26,",  ","County")</f>
        <v>PART THREE (B) -  OTHER COSTS  -  2023-0 - Fairhaven on Campbellton  -  Atlanta  -  Fulton,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3276</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t="s">
        <v>7045</v>
      </c>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t="s">
        <v>7045</v>
      </c>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t="s">
        <v>7045</v>
      </c>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t="s">
        <v>7045</v>
      </c>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2">
      <c r="A28" s="735" t="s">
        <v>3209</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t="s">
        <v>7045</v>
      </c>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t="s">
        <v>7045</v>
      </c>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t="s">
        <v>7045</v>
      </c>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t="s">
        <v>7045</v>
      </c>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t="s">
        <v>7045</v>
      </c>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2">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t="s">
        <v>7045</v>
      </c>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2">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t="s">
        <v>7045</v>
      </c>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2">
      <c r="A68" s="735" t="s">
        <v>3209</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Hazard and Liability Insurance</v>
      </c>
      <c r="B71" s="3523"/>
      <c r="C71" s="3523"/>
      <c r="D71" s="3524"/>
      <c r="F71" s="3519" t="s">
        <v>7127</v>
      </c>
      <c r="G71" s="726"/>
      <c r="H71" s="3519" t="s">
        <v>7129</v>
      </c>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34500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t="s">
        <v>7045</v>
      </c>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1"/>
    <row r="83" spans="4:8" s="725" customFormat="1" ht="11"/>
    <row r="84" spans="4:8" s="725" customFormat="1" ht="11"/>
    <row r="85" spans="4:8" s="725" customFormat="1" ht="11"/>
    <row r="86" spans="4:8" s="725" customFormat="1" ht="11"/>
    <row r="87" spans="4:8" s="725" customFormat="1" ht="11"/>
    <row r="88" spans="4:8" s="725" customFormat="1" ht="11"/>
    <row r="89" spans="4:8" s="725" customFormat="1" ht="11"/>
    <row r="90" spans="4:8" s="725" customFormat="1" ht="11"/>
    <row r="91" spans="4:8" s="725" customFormat="1" ht="11"/>
    <row r="92" spans="4:8" s="725" customFormat="1" ht="1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3"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6" customFormat="1" ht="14" customHeight="1">
      <c r="A1" s="3529" t="str">
        <f>CONCATENATE("PART FOUR - UTILITY ALLOWANCES","  -  ",'Part I-Project Identification'!$O$7," ",'Part I-Project Identification'!$F$25,", ",'Part I-Project Identification'!F26,", ",'Part I-Project Identification'!J26," County")</f>
        <v>PART FOUR - UTILITY ALLOWANCES  -  2023-0 Fairhaven on Campbellton, Atlanta, Fulton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6737</v>
      </c>
      <c r="I3" s="3538" t="str">
        <f>VLOOKUP('Part I-Project Identification'!$J$26,'DCA Underwriting Assumptions'!$G$141:$H$300,2)</f>
        <v>Local PHA</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7046</v>
      </c>
      <c r="J7" s="3532"/>
      <c r="K7" s="3532"/>
      <c r="L7" s="3532"/>
      <c r="M7" s="3533"/>
      <c r="O7" s="839"/>
      <c r="P7" s="839"/>
      <c r="Q7" s="839"/>
      <c r="R7" s="839"/>
      <c r="S7" s="839"/>
      <c r="T7" s="839"/>
      <c r="U7" s="839"/>
      <c r="V7" s="393"/>
      <c r="W7" s="393"/>
      <c r="X7" s="393"/>
      <c r="Y7" s="393"/>
    </row>
    <row r="8" spans="1:25" s="6" customFormat="1" ht="13.25" customHeight="1">
      <c r="A8" s="10"/>
      <c r="F8" s="1" t="s">
        <v>593</v>
      </c>
      <c r="G8" s="1"/>
      <c r="H8" s="26"/>
      <c r="I8" s="3534" t="s">
        <v>7108</v>
      </c>
      <c r="J8" s="3535"/>
      <c r="K8" s="5" t="s">
        <v>505</v>
      </c>
      <c r="L8" s="3525" t="s">
        <v>7050</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7047</v>
      </c>
      <c r="E12" s="3528"/>
      <c r="F12" s="207" t="s">
        <v>416</v>
      </c>
      <c r="G12" s="207"/>
      <c r="H12" s="804"/>
      <c r="I12" s="1266"/>
      <c r="J12" s="1266">
        <v>7</v>
      </c>
      <c r="K12" s="1266">
        <v>9</v>
      </c>
      <c r="L12" s="1266">
        <v>11</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9</v>
      </c>
      <c r="K13" s="1267">
        <v>11</v>
      </c>
      <c r="L13" s="1268">
        <v>14</v>
      </c>
      <c r="M13" s="1268"/>
      <c r="O13" s="3540" t="s">
        <v>3275</v>
      </c>
      <c r="P13" s="3540"/>
      <c r="Q13" s="3540"/>
    </row>
    <row r="14" spans="1:25" s="6" customFormat="1" ht="12" customHeight="1">
      <c r="B14" s="1275" t="s">
        <v>1493</v>
      </c>
      <c r="C14" s="1276"/>
      <c r="D14" s="3547" t="s">
        <v>1491</v>
      </c>
      <c r="E14" s="3548"/>
      <c r="F14" s="208" t="s">
        <v>416</v>
      </c>
      <c r="G14" s="208"/>
      <c r="H14" s="203"/>
      <c r="I14" s="1267"/>
      <c r="J14" s="1267">
        <v>18</v>
      </c>
      <c r="K14" s="1267">
        <v>25</v>
      </c>
      <c r="L14" s="1268">
        <v>32</v>
      </c>
      <c r="M14" s="1268"/>
      <c r="O14" s="3540"/>
      <c r="P14" s="3540"/>
      <c r="Q14" s="3540"/>
    </row>
    <row r="15" spans="1:25" s="6" customFormat="1" ht="12" customHeight="1">
      <c r="B15" s="1277" t="s">
        <v>440</v>
      </c>
      <c r="C15" s="1278"/>
      <c r="D15" s="1277" t="s">
        <v>1491</v>
      </c>
      <c r="E15" s="204"/>
      <c r="F15" s="208" t="s">
        <v>416</v>
      </c>
      <c r="G15" s="208"/>
      <c r="H15" s="802"/>
      <c r="I15" s="1267"/>
      <c r="J15" s="1267">
        <v>9</v>
      </c>
      <c r="K15" s="1267">
        <v>16</v>
      </c>
      <c r="L15" s="1268">
        <v>22</v>
      </c>
      <c r="M15" s="1268"/>
      <c r="O15" s="3540"/>
      <c r="P15" s="3540"/>
      <c r="Q15" s="3540"/>
    </row>
    <row r="16" spans="1:25" s="6" customFormat="1" ht="12" customHeight="1">
      <c r="B16" s="1279" t="s">
        <v>3269</v>
      </c>
      <c r="C16" s="1274"/>
      <c r="D16" s="1273" t="s">
        <v>1491</v>
      </c>
      <c r="E16" s="801"/>
      <c r="F16" s="208"/>
      <c r="G16" s="208"/>
      <c r="H16" s="803"/>
      <c r="I16" s="1267"/>
      <c r="J16" s="1267"/>
      <c r="K16" s="1267"/>
      <c r="L16" s="1268"/>
      <c r="M16" s="1268"/>
      <c r="O16" s="3540"/>
      <c r="P16" s="3540"/>
      <c r="Q16" s="3540"/>
    </row>
    <row r="17" spans="1:25" s="6" customFormat="1" ht="12" customHeight="1">
      <c r="B17" s="1279" t="s">
        <v>3270</v>
      </c>
      <c r="C17" s="1274"/>
      <c r="D17" s="1273" t="s">
        <v>1491</v>
      </c>
      <c r="E17" s="801"/>
      <c r="F17" s="208"/>
      <c r="G17" s="208"/>
      <c r="H17" s="803"/>
      <c r="I17" s="1267"/>
      <c r="J17" s="1267"/>
      <c r="K17" s="1267"/>
      <c r="L17" s="1268"/>
      <c r="M17" s="1268"/>
      <c r="O17" s="3540"/>
      <c r="P17" s="3540"/>
      <c r="Q17" s="3540"/>
    </row>
    <row r="18" spans="1:25" s="6" customFormat="1" ht="12" customHeight="1">
      <c r="B18" s="1280" t="s">
        <v>3271</v>
      </c>
      <c r="C18" s="1276"/>
      <c r="D18" s="1275" t="s">
        <v>1491</v>
      </c>
      <c r="E18" s="801"/>
      <c r="F18" s="208" t="s">
        <v>416</v>
      </c>
      <c r="G18" s="208"/>
      <c r="H18" s="203"/>
      <c r="I18" s="1267"/>
      <c r="J18" s="1267">
        <v>39</v>
      </c>
      <c r="K18" s="1267">
        <v>48</v>
      </c>
      <c r="L18" s="1268">
        <v>57</v>
      </c>
      <c r="M18" s="1268"/>
      <c r="O18" s="3540"/>
      <c r="P18" s="3540"/>
      <c r="Q18" s="3540"/>
    </row>
    <row r="19" spans="1:25" s="6" customFormat="1" ht="12" customHeight="1">
      <c r="B19" s="1277" t="s">
        <v>1292</v>
      </c>
      <c r="C19" s="1278"/>
      <c r="D19" s="1283" t="s">
        <v>3076</v>
      </c>
      <c r="E19" s="1265" t="s">
        <v>2649</v>
      </c>
      <c r="F19" s="208" t="s">
        <v>416</v>
      </c>
      <c r="G19" s="208"/>
      <c r="H19" s="802"/>
      <c r="I19" s="1267"/>
      <c r="J19" s="1267">
        <v>75</v>
      </c>
      <c r="K19" s="1267">
        <v>117</v>
      </c>
      <c r="L19" s="1268">
        <v>164</v>
      </c>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300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25" customHeight="1">
      <c r="A25" s="10"/>
      <c r="B25" s="10"/>
      <c r="F25" s="1" t="s">
        <v>593</v>
      </c>
      <c r="G25" s="1"/>
      <c r="H25" s="26"/>
      <c r="I25" s="3553"/>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3275</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3269</v>
      </c>
      <c r="C33" s="1274"/>
      <c r="D33" s="1273" t="s">
        <v>1491</v>
      </c>
      <c r="E33" s="801"/>
      <c r="F33" s="208"/>
      <c r="G33" s="208"/>
      <c r="H33" s="803"/>
      <c r="I33" s="1267"/>
      <c r="J33" s="1267"/>
      <c r="K33" s="1267"/>
      <c r="L33" s="1268"/>
      <c r="M33" s="1268"/>
      <c r="O33" s="3540"/>
      <c r="P33" s="3540"/>
      <c r="Q33" s="3540"/>
    </row>
    <row r="34" spans="1:19" s="6" customFormat="1" ht="12" customHeight="1">
      <c r="B34" s="1279" t="s">
        <v>3270</v>
      </c>
      <c r="C34" s="1274"/>
      <c r="D34" s="1273" t="s">
        <v>1491</v>
      </c>
      <c r="E34" s="801"/>
      <c r="F34" s="208"/>
      <c r="G34" s="208"/>
      <c r="H34" s="803"/>
      <c r="I34" s="1267"/>
      <c r="J34" s="1267"/>
      <c r="K34" s="1267"/>
      <c r="L34" s="1268"/>
      <c r="M34" s="1268"/>
      <c r="O34" s="3540"/>
      <c r="P34" s="3540"/>
      <c r="Q34" s="3540"/>
    </row>
    <row r="35" spans="1:19" s="6" customFormat="1" ht="12" customHeight="1">
      <c r="B35" s="1280" t="s">
        <v>3271</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7048</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F241" sqref="F241:G241"/>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5" style="357" customWidth="1"/>
    <col min="293" max="293" width="11.5" style="1748" customWidth="1"/>
    <col min="294" max="297" width="11.5" style="357" customWidth="1"/>
    <col min="298" max="298" width="11.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 customHeight="1">
      <c r="A2" s="3661" t="str">
        <f>CONCATENATE("PART FOUR - PROJECTED REVENUES &amp; EXPENSES","  -  ",'Part I-Project Identification'!$O$7," ",'Part I-Project Identification'!$F$25,", ",'Part I-Project Identification'!F26,", ",'Part I-Project Identification'!J26," County")</f>
        <v>PART FOUR - PROJECTED REVENUES &amp; EXPENSES  -  2023-0 Fairhaven on Campbellton, Atlanta, Fulton County</v>
      </c>
      <c r="B2" s="3662"/>
      <c r="C2" s="3662"/>
      <c r="D2" s="3662"/>
      <c r="E2" s="3662"/>
      <c r="F2" s="3662"/>
      <c r="G2" s="3662"/>
      <c r="H2" s="3662"/>
      <c r="I2" s="3662"/>
      <c r="J2" s="3662"/>
      <c r="K2" s="3662"/>
      <c r="L2" s="3662"/>
      <c r="M2" s="3662"/>
      <c r="N2" s="3662"/>
      <c r="O2" s="3662"/>
      <c r="P2" s="3662"/>
      <c r="Q2" s="3663"/>
      <c r="T2" s="1427" t="str">
        <f>A2</f>
        <v>PART FOUR - PROJECTED REVENUES &amp; EXPENSES  -  2023-0 Fairhaven on Campbellton,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5" customHeight="1">
      <c r="A4" s="4" t="s">
        <v>573</v>
      </c>
      <c r="B4" s="4" t="s">
        <v>2183</v>
      </c>
      <c r="C4" s="1"/>
      <c r="D4" s="1515" t="s">
        <v>6093</v>
      </c>
      <c r="E4" s="1515"/>
      <c r="F4" s="1515"/>
      <c r="G4" s="1515"/>
      <c r="H4" s="1515"/>
      <c r="I4" s="1515"/>
      <c r="J4" s="1515"/>
      <c r="K4" s="93"/>
      <c r="L4" s="93"/>
      <c r="M4" s="93"/>
      <c r="O4" s="153" t="s">
        <v>534</v>
      </c>
      <c r="P4" s="3666" t="str">
        <f>'Part I-Project Identification'!$O$28</f>
        <v>Atlanta-Sandy Springs-Marietta</v>
      </c>
      <c r="Q4" s="3666"/>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5" t="s">
        <v>3045</v>
      </c>
      <c r="MG4" s="3555" t="s">
        <v>3046</v>
      </c>
      <c r="MH4" s="3555" t="s">
        <v>3047</v>
      </c>
      <c r="MI4" s="3555" t="s">
        <v>3048</v>
      </c>
      <c r="MJ4" s="355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3" t="s">
        <v>3203</v>
      </c>
      <c r="R5" s="830"/>
      <c r="S5" s="337"/>
      <c r="T5" s="337"/>
      <c r="U5" s="337"/>
      <c r="W5" s="338"/>
      <c r="X5" s="3555" t="s">
        <v>3681</v>
      </c>
      <c r="Y5" s="3555" t="s">
        <v>3682</v>
      </c>
      <c r="Z5" s="3555" t="s">
        <v>3683</v>
      </c>
      <c r="AA5" s="3555" t="s">
        <v>3684</v>
      </c>
      <c r="AB5" s="3555" t="s">
        <v>3685</v>
      </c>
      <c r="AC5" s="3555" t="s">
        <v>3686</v>
      </c>
      <c r="AD5" s="3555" t="s">
        <v>3687</v>
      </c>
      <c r="AE5" s="3555" t="s">
        <v>3688</v>
      </c>
      <c r="AF5" s="3555" t="s">
        <v>3689</v>
      </c>
      <c r="AG5" s="3555" t="s">
        <v>3690</v>
      </c>
      <c r="AH5" s="3555" t="s">
        <v>861</v>
      </c>
      <c r="AI5" s="3555" t="s">
        <v>705</v>
      </c>
      <c r="AJ5" s="3555" t="s">
        <v>706</v>
      </c>
      <c r="AK5" s="3555" t="s">
        <v>707</v>
      </c>
      <c r="AL5" s="3555" t="s">
        <v>708</v>
      </c>
      <c r="AM5" s="3555" t="s">
        <v>862</v>
      </c>
      <c r="AN5" s="3555" t="s">
        <v>2131</v>
      </c>
      <c r="AO5" s="3555" t="s">
        <v>2132</v>
      </c>
      <c r="AP5" s="3555" t="s">
        <v>2133</v>
      </c>
      <c r="AQ5" s="3555" t="s">
        <v>2134</v>
      </c>
      <c r="AR5" s="3555" t="s">
        <v>3692</v>
      </c>
      <c r="AS5" s="3555" t="s">
        <v>3693</v>
      </c>
      <c r="AT5" s="3555" t="s">
        <v>3694</v>
      </c>
      <c r="AU5" s="3555" t="s">
        <v>3695</v>
      </c>
      <c r="AV5" s="3555" t="s">
        <v>3691</v>
      </c>
      <c r="AW5" s="3555" t="s">
        <v>863</v>
      </c>
      <c r="AX5" s="3555" t="s">
        <v>2135</v>
      </c>
      <c r="AY5" s="3555" t="s">
        <v>2136</v>
      </c>
      <c r="AZ5" s="3555" t="s">
        <v>2137</v>
      </c>
      <c r="BA5" s="3555" t="s">
        <v>2138</v>
      </c>
      <c r="BB5" s="3555" t="s">
        <v>3696</v>
      </c>
      <c r="BC5" s="3555" t="s">
        <v>3697</v>
      </c>
      <c r="BD5" s="3555" t="s">
        <v>3698</v>
      </c>
      <c r="BE5" s="3555" t="s">
        <v>3699</v>
      </c>
      <c r="BF5" s="3555" t="s">
        <v>3700</v>
      </c>
      <c r="BG5" s="3555" t="s">
        <v>123</v>
      </c>
      <c r="BH5" s="3555" t="s">
        <v>2139</v>
      </c>
      <c r="BI5" s="3555" t="s">
        <v>2140</v>
      </c>
      <c r="BJ5" s="3555" t="s">
        <v>2141</v>
      </c>
      <c r="BK5" s="3555" t="s">
        <v>1080</v>
      </c>
      <c r="BL5" s="3555" t="s">
        <v>3701</v>
      </c>
      <c r="BM5" s="3555" t="s">
        <v>3702</v>
      </c>
      <c r="BN5" s="3555" t="s">
        <v>3703</v>
      </c>
      <c r="BO5" s="3555" t="s">
        <v>3704</v>
      </c>
      <c r="BP5" s="3555" t="s">
        <v>3705</v>
      </c>
      <c r="BQ5" s="3555" t="s">
        <v>517</v>
      </c>
      <c r="BR5" s="3555" t="s">
        <v>518</v>
      </c>
      <c r="BS5" s="3555" t="s">
        <v>535</v>
      </c>
      <c r="BT5" s="3555" t="s">
        <v>536</v>
      </c>
      <c r="BU5" s="3555" t="s">
        <v>537</v>
      </c>
      <c r="BV5" s="3555" t="s">
        <v>3706</v>
      </c>
      <c r="BW5" s="3555" t="s">
        <v>3707</v>
      </c>
      <c r="BX5" s="3555" t="s">
        <v>3708</v>
      </c>
      <c r="BY5" s="3555" t="s">
        <v>3709</v>
      </c>
      <c r="BZ5" s="3555" t="s">
        <v>3710</v>
      </c>
      <c r="CA5" s="3555" t="s">
        <v>538</v>
      </c>
      <c r="CB5" s="3555" t="s">
        <v>539</v>
      </c>
      <c r="CC5" s="3555" t="s">
        <v>540</v>
      </c>
      <c r="CD5" s="3555" t="s">
        <v>541</v>
      </c>
      <c r="CE5" s="3555" t="s">
        <v>542</v>
      </c>
      <c r="CF5" s="3555" t="s">
        <v>543</v>
      </c>
      <c r="CG5" s="3555" t="s">
        <v>544</v>
      </c>
      <c r="CH5" s="3555" t="s">
        <v>872</v>
      </c>
      <c r="CI5" s="3555" t="s">
        <v>873</v>
      </c>
      <c r="CJ5" s="3555" t="s">
        <v>874</v>
      </c>
      <c r="CK5" s="3555" t="s">
        <v>3716</v>
      </c>
      <c r="CL5" s="3555" t="s">
        <v>3717</v>
      </c>
      <c r="CM5" s="3555" t="s">
        <v>3718</v>
      </c>
      <c r="CN5" s="3555" t="s">
        <v>3719</v>
      </c>
      <c r="CO5" s="3555" t="s">
        <v>3720</v>
      </c>
      <c r="CP5" s="3555" t="s">
        <v>3711</v>
      </c>
      <c r="CQ5" s="3555" t="s">
        <v>3712</v>
      </c>
      <c r="CR5" s="3555" t="s">
        <v>3713</v>
      </c>
      <c r="CS5" s="3555" t="s">
        <v>3714</v>
      </c>
      <c r="CT5" s="3555" t="s">
        <v>3715</v>
      </c>
      <c r="CU5" s="3555" t="s">
        <v>3721</v>
      </c>
      <c r="CV5" s="3555" t="s">
        <v>3722</v>
      </c>
      <c r="CW5" s="3555" t="s">
        <v>3723</v>
      </c>
      <c r="CX5" s="3555" t="s">
        <v>3724</v>
      </c>
      <c r="CY5" s="3555" t="s">
        <v>3725</v>
      </c>
      <c r="CZ5" s="3555" t="s">
        <v>466</v>
      </c>
      <c r="DA5" s="3555" t="s">
        <v>467</v>
      </c>
      <c r="DB5" s="3555" t="s">
        <v>468</v>
      </c>
      <c r="DC5" s="3555" t="s">
        <v>469</v>
      </c>
      <c r="DD5" s="3555" t="s">
        <v>470</v>
      </c>
      <c r="DE5" s="3555" t="s">
        <v>3726</v>
      </c>
      <c r="DF5" s="3555" t="s">
        <v>3727</v>
      </c>
      <c r="DG5" s="3555" t="s">
        <v>3728</v>
      </c>
      <c r="DH5" s="3555" t="s">
        <v>3729</v>
      </c>
      <c r="DI5" s="3555" t="s">
        <v>3730</v>
      </c>
      <c r="DJ5" s="3555" t="s">
        <v>822</v>
      </c>
      <c r="DK5" s="3555" t="s">
        <v>823</v>
      </c>
      <c r="DL5" s="3555" t="s">
        <v>824</v>
      </c>
      <c r="DM5" s="3555" t="s">
        <v>825</v>
      </c>
      <c r="DN5" s="3555" t="s">
        <v>826</v>
      </c>
      <c r="DO5" s="3555" t="s">
        <v>827</v>
      </c>
      <c r="DP5" s="3555" t="s">
        <v>828</v>
      </c>
      <c r="DQ5" s="3555" t="s">
        <v>829</v>
      </c>
      <c r="DR5" s="3555" t="s">
        <v>830</v>
      </c>
      <c r="DS5" s="3555" t="s">
        <v>831</v>
      </c>
      <c r="DT5" s="3555" t="s">
        <v>3731</v>
      </c>
      <c r="DU5" s="3555" t="s">
        <v>3732</v>
      </c>
      <c r="DV5" s="3555" t="s">
        <v>3733</v>
      </c>
      <c r="DW5" s="3555" t="s">
        <v>3734</v>
      </c>
      <c r="DX5" s="3555" t="s">
        <v>3735</v>
      </c>
      <c r="DY5" s="3555" t="s">
        <v>3736</v>
      </c>
      <c r="DZ5" s="3555" t="s">
        <v>3737</v>
      </c>
      <c r="EA5" s="3555" t="s">
        <v>3738</v>
      </c>
      <c r="EB5" s="3555" t="s">
        <v>3739</v>
      </c>
      <c r="EC5" s="3555" t="s">
        <v>3740</v>
      </c>
      <c r="ED5" s="3555" t="s">
        <v>2235</v>
      </c>
      <c r="EE5" s="3555" t="s">
        <v>2236</v>
      </c>
      <c r="EF5" s="3555" t="s">
        <v>2237</v>
      </c>
      <c r="EG5" s="3555" t="s">
        <v>2238</v>
      </c>
      <c r="EH5" s="3555" t="s">
        <v>2239</v>
      </c>
      <c r="EI5" s="3555" t="s">
        <v>3741</v>
      </c>
      <c r="EJ5" s="3555" t="s">
        <v>3742</v>
      </c>
      <c r="EK5" s="3555" t="s">
        <v>3743</v>
      </c>
      <c r="EL5" s="3555" t="s">
        <v>3744</v>
      </c>
      <c r="EM5" s="3555" t="s">
        <v>3745</v>
      </c>
      <c r="EN5" s="3555" t="s">
        <v>3746</v>
      </c>
      <c r="EO5" s="3555" t="s">
        <v>3747</v>
      </c>
      <c r="EP5" s="3555" t="s">
        <v>3748</v>
      </c>
      <c r="EQ5" s="3555" t="s">
        <v>3749</v>
      </c>
      <c r="ER5" s="3555" t="s">
        <v>3750</v>
      </c>
      <c r="ES5" s="3555" t="s">
        <v>111</v>
      </c>
      <c r="ET5" s="3555" t="s">
        <v>1083</v>
      </c>
      <c r="EU5" s="3555" t="s">
        <v>1084</v>
      </c>
      <c r="EV5" s="3555" t="s">
        <v>1139</v>
      </c>
      <c r="EW5" s="3555" t="s">
        <v>1140</v>
      </c>
      <c r="EX5" s="3555" t="s">
        <v>126</v>
      </c>
      <c r="EY5" s="3555" t="s">
        <v>1141</v>
      </c>
      <c r="EZ5" s="3555" t="s">
        <v>1142</v>
      </c>
      <c r="FA5" s="3555" t="s">
        <v>1143</v>
      </c>
      <c r="FB5" s="3555" t="s">
        <v>1144</v>
      </c>
      <c r="FC5" s="3555" t="s">
        <v>3751</v>
      </c>
      <c r="FD5" s="3555" t="s">
        <v>3752</v>
      </c>
      <c r="FE5" s="3555" t="s">
        <v>3753</v>
      </c>
      <c r="FF5" s="3555" t="s">
        <v>3754</v>
      </c>
      <c r="FG5" s="3555" t="s">
        <v>3755</v>
      </c>
      <c r="FH5" s="3555" t="s">
        <v>125</v>
      </c>
      <c r="FI5" s="3555" t="s">
        <v>853</v>
      </c>
      <c r="FJ5" s="3555" t="s">
        <v>854</v>
      </c>
      <c r="FK5" s="3555" t="s">
        <v>855</v>
      </c>
      <c r="FL5" s="3555" t="s">
        <v>856</v>
      </c>
      <c r="FM5" s="3555" t="s">
        <v>3756</v>
      </c>
      <c r="FN5" s="3555" t="s">
        <v>3757</v>
      </c>
      <c r="FO5" s="3555" t="s">
        <v>3758</v>
      </c>
      <c r="FP5" s="3555" t="s">
        <v>3759</v>
      </c>
      <c r="FQ5" s="3555" t="s">
        <v>3760</v>
      </c>
      <c r="FR5" s="3555" t="s">
        <v>124</v>
      </c>
      <c r="FS5" s="3555" t="s">
        <v>857</v>
      </c>
      <c r="FT5" s="3555" t="s">
        <v>858</v>
      </c>
      <c r="FU5" s="3555" t="s">
        <v>859</v>
      </c>
      <c r="FV5" s="3555" t="s">
        <v>860</v>
      </c>
      <c r="FW5" s="3555" t="s">
        <v>752</v>
      </c>
      <c r="FX5" s="3555" t="s">
        <v>753</v>
      </c>
      <c r="FY5" s="3555" t="s">
        <v>754</v>
      </c>
      <c r="FZ5" s="3555" t="s">
        <v>755</v>
      </c>
      <c r="GA5" s="3555" t="s">
        <v>756</v>
      </c>
      <c r="GB5" s="3555" t="s">
        <v>896</v>
      </c>
      <c r="GC5" s="3555" t="s">
        <v>897</v>
      </c>
      <c r="GD5" s="3555" t="s">
        <v>898</v>
      </c>
      <c r="GE5" s="3555" t="s">
        <v>899</v>
      </c>
      <c r="GF5" s="3555" t="s">
        <v>2234</v>
      </c>
      <c r="GG5" s="3555" t="s">
        <v>1344</v>
      </c>
      <c r="GH5" s="3555" t="s">
        <v>1345</v>
      </c>
      <c r="GI5" s="3555" t="s">
        <v>1346</v>
      </c>
      <c r="GJ5" s="3555" t="s">
        <v>1347</v>
      </c>
      <c r="GK5" s="3555" t="s">
        <v>1348</v>
      </c>
      <c r="GL5" s="3555" t="s">
        <v>411</v>
      </c>
      <c r="GM5" s="3555" t="s">
        <v>412</v>
      </c>
      <c r="GN5" s="3555" t="s">
        <v>413</v>
      </c>
      <c r="GO5" s="3555" t="s">
        <v>414</v>
      </c>
      <c r="GP5" s="3555" t="s">
        <v>415</v>
      </c>
      <c r="GQ5" s="3555" t="s">
        <v>14</v>
      </c>
      <c r="GR5" s="3555" t="s">
        <v>15</v>
      </c>
      <c r="GS5" s="3555" t="s">
        <v>16</v>
      </c>
      <c r="GT5" s="3555" t="s">
        <v>17</v>
      </c>
      <c r="GU5" s="3555" t="s">
        <v>18</v>
      </c>
      <c r="GV5" s="3555" t="s">
        <v>214</v>
      </c>
      <c r="GW5" s="3555" t="s">
        <v>215</v>
      </c>
      <c r="GX5" s="3555" t="s">
        <v>216</v>
      </c>
      <c r="GY5" s="3555" t="s">
        <v>1680</v>
      </c>
      <c r="GZ5" s="3555" t="s">
        <v>1681</v>
      </c>
      <c r="HA5" s="3555" t="s">
        <v>1682</v>
      </c>
      <c r="HB5" s="3555" t="s">
        <v>550</v>
      </c>
      <c r="HC5" s="3555" t="s">
        <v>551</v>
      </c>
      <c r="HD5" s="3555" t="s">
        <v>552</v>
      </c>
      <c r="HE5" s="3555" t="s">
        <v>553</v>
      </c>
      <c r="HF5" s="3555" t="s">
        <v>19</v>
      </c>
      <c r="HG5" s="3555" t="s">
        <v>20</v>
      </c>
      <c r="HH5" s="3555" t="s">
        <v>21</v>
      </c>
      <c r="HI5" s="3555" t="s">
        <v>22</v>
      </c>
      <c r="HJ5" s="3555" t="s">
        <v>23</v>
      </c>
      <c r="HK5" s="3555" t="s">
        <v>465</v>
      </c>
      <c r="HL5" s="3555" t="s">
        <v>407</v>
      </c>
      <c r="HM5" s="3555" t="s">
        <v>408</v>
      </c>
      <c r="HN5" s="3555" t="s">
        <v>409</v>
      </c>
      <c r="HO5" s="3555" t="s">
        <v>410</v>
      </c>
      <c r="HP5" s="3555" t="s">
        <v>2042</v>
      </c>
      <c r="HQ5" s="3555" t="s">
        <v>2043</v>
      </c>
      <c r="HR5" s="3555" t="s">
        <v>2044</v>
      </c>
      <c r="HS5" s="3555" t="s">
        <v>1385</v>
      </c>
      <c r="HT5" s="3555" t="s">
        <v>1386</v>
      </c>
      <c r="HU5" s="3555" t="s">
        <v>24</v>
      </c>
      <c r="HV5" s="3555" t="s">
        <v>25</v>
      </c>
      <c r="HW5" s="3555" t="s">
        <v>26</v>
      </c>
      <c r="HX5" s="3555" t="s">
        <v>27</v>
      </c>
      <c r="HY5" s="355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5" t="s">
        <v>1518</v>
      </c>
      <c r="LH5" s="3555" t="s">
        <v>2321</v>
      </c>
      <c r="LI5" s="3555" t="s">
        <v>2322</v>
      </c>
      <c r="LJ5" s="3555" t="s">
        <v>364</v>
      </c>
      <c r="LK5" s="3555" t="s">
        <v>365</v>
      </c>
      <c r="LL5" s="3555" t="s">
        <v>366</v>
      </c>
      <c r="LM5" s="3555" t="s">
        <v>367</v>
      </c>
      <c r="LN5" s="3555" t="s">
        <v>368</v>
      </c>
      <c r="LO5" s="3555" t="s">
        <v>369</v>
      </c>
      <c r="LP5" s="3555" t="s">
        <v>370</v>
      </c>
      <c r="LQ5" s="3555" t="s">
        <v>195</v>
      </c>
      <c r="LR5" s="3555" t="s">
        <v>196</v>
      </c>
      <c r="LS5" s="3555" t="s">
        <v>197</v>
      </c>
      <c r="LT5" s="3555" t="s">
        <v>198</v>
      </c>
      <c r="LU5" s="3555" t="s">
        <v>199</v>
      </c>
      <c r="LV5" s="3555" t="s">
        <v>200</v>
      </c>
      <c r="LW5" s="3555" t="s">
        <v>201</v>
      </c>
      <c r="LX5" s="3555" t="s">
        <v>202</v>
      </c>
      <c r="LY5" s="3555" t="s">
        <v>203</v>
      </c>
      <c r="LZ5" s="3555" t="s">
        <v>204</v>
      </c>
      <c r="MA5" s="3555" t="s">
        <v>205</v>
      </c>
      <c r="MB5" s="3555" t="s">
        <v>206</v>
      </c>
      <c r="MC5" s="3555" t="s">
        <v>207</v>
      </c>
      <c r="MD5" s="3555" t="s">
        <v>208</v>
      </c>
      <c r="ME5" s="3555" t="s">
        <v>209</v>
      </c>
      <c r="MF5" s="3555"/>
      <c r="MG5" s="3555"/>
      <c r="MH5" s="3555"/>
      <c r="MI5" s="3555"/>
      <c r="MJ5" s="355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583" t="str">
        <f>IF(A49&gt;0,"Finish Row!","")</f>
        <v>Finish Row!</v>
      </c>
      <c r="B6" s="141" t="s">
        <v>6094</v>
      </c>
      <c r="D6" s="1515"/>
      <c r="E6" s="1515"/>
      <c r="F6" s="1515"/>
      <c r="G6" s="1211" t="s">
        <v>194</v>
      </c>
      <c r="H6" s="3664" t="s">
        <v>6096</v>
      </c>
      <c r="I6" s="3665"/>
      <c r="J6" s="3665"/>
      <c r="K6" s="686" t="s">
        <v>3135</v>
      </c>
      <c r="L6" s="3557" t="str">
        <f>'Part I-Project Identification'!$A$6</f>
        <v>April 2023</v>
      </c>
      <c r="M6" s="3557"/>
      <c r="N6" s="3557"/>
      <c r="O6" s="1717" t="s">
        <v>6076</v>
      </c>
      <c r="P6" s="1505">
        <v>96400</v>
      </c>
      <c r="Q6" s="3623"/>
      <c r="R6" s="830"/>
      <c r="S6" s="72"/>
      <c r="U6" s="72"/>
      <c r="X6" s="3555"/>
      <c r="Y6" s="3555"/>
      <c r="Z6" s="3555"/>
      <c r="AA6" s="3555"/>
      <c r="AB6" s="3555"/>
      <c r="AC6" s="3555"/>
      <c r="AD6" s="3555"/>
      <c r="AE6" s="3555"/>
      <c r="AF6" s="3555"/>
      <c r="AG6" s="3555"/>
      <c r="AH6" s="3555"/>
      <c r="AI6" s="3555"/>
      <c r="AJ6" s="3555"/>
      <c r="AK6" s="3555"/>
      <c r="AL6" s="3555"/>
      <c r="AM6" s="3555"/>
      <c r="AN6" s="3555"/>
      <c r="AO6" s="3555"/>
      <c r="AP6" s="3555"/>
      <c r="AQ6" s="3555"/>
      <c r="AR6" s="3555"/>
      <c r="AS6" s="3555"/>
      <c r="AT6" s="3555"/>
      <c r="AU6" s="3555"/>
      <c r="AV6" s="3555"/>
      <c r="AW6" s="3555"/>
      <c r="AX6" s="3555"/>
      <c r="AY6" s="3555"/>
      <c r="AZ6" s="3555"/>
      <c r="BA6" s="3555"/>
      <c r="BB6" s="3555"/>
      <c r="BC6" s="3555"/>
      <c r="BD6" s="3555"/>
      <c r="BE6" s="3555"/>
      <c r="BF6" s="3555"/>
      <c r="BG6" s="3555"/>
      <c r="BH6" s="3555"/>
      <c r="BI6" s="3555"/>
      <c r="BJ6" s="3555"/>
      <c r="BK6" s="3555"/>
      <c r="BL6" s="3555"/>
      <c r="BM6" s="3555"/>
      <c r="BN6" s="3555"/>
      <c r="BO6" s="3555"/>
      <c r="BP6" s="3555"/>
      <c r="BQ6" s="3555"/>
      <c r="BR6" s="3555"/>
      <c r="BS6" s="3555"/>
      <c r="BT6" s="3555"/>
      <c r="BU6" s="3555"/>
      <c r="BV6" s="3555"/>
      <c r="BW6" s="3555"/>
      <c r="BX6" s="3555"/>
      <c r="BY6" s="3555"/>
      <c r="BZ6" s="3555"/>
      <c r="CA6" s="3555"/>
      <c r="CB6" s="3555"/>
      <c r="CC6" s="3555"/>
      <c r="CD6" s="3555"/>
      <c r="CE6" s="3555"/>
      <c r="CF6" s="3555"/>
      <c r="CG6" s="3555"/>
      <c r="CH6" s="3555"/>
      <c r="CI6" s="3555"/>
      <c r="CJ6" s="3555"/>
      <c r="CK6" s="3555"/>
      <c r="CL6" s="3555"/>
      <c r="CM6" s="3555"/>
      <c r="CN6" s="3555"/>
      <c r="CO6" s="3555"/>
      <c r="CP6" s="3555"/>
      <c r="CQ6" s="3555"/>
      <c r="CR6" s="3555"/>
      <c r="CS6" s="3555"/>
      <c r="CT6" s="3555"/>
      <c r="CU6" s="3555"/>
      <c r="CV6" s="3555"/>
      <c r="CW6" s="3555"/>
      <c r="CX6" s="3555"/>
      <c r="CY6" s="3555"/>
      <c r="CZ6" s="3555"/>
      <c r="DA6" s="3555"/>
      <c r="DB6" s="3555"/>
      <c r="DC6" s="3555"/>
      <c r="DD6" s="3555"/>
      <c r="DE6" s="3555"/>
      <c r="DF6" s="3555"/>
      <c r="DG6" s="3555"/>
      <c r="DH6" s="3555"/>
      <c r="DI6" s="3555"/>
      <c r="DJ6" s="3555"/>
      <c r="DK6" s="3555"/>
      <c r="DL6" s="3555"/>
      <c r="DM6" s="3555"/>
      <c r="DN6" s="3555"/>
      <c r="DO6" s="3555"/>
      <c r="DP6" s="3555"/>
      <c r="DQ6" s="3555"/>
      <c r="DR6" s="3555"/>
      <c r="DS6" s="3555"/>
      <c r="DT6" s="3555"/>
      <c r="DU6" s="3555"/>
      <c r="DV6" s="3555"/>
      <c r="DW6" s="3555"/>
      <c r="DX6" s="3555"/>
      <c r="DY6" s="3555"/>
      <c r="DZ6" s="3555"/>
      <c r="EA6" s="3555"/>
      <c r="EB6" s="3555"/>
      <c r="EC6" s="3555"/>
      <c r="ED6" s="3555"/>
      <c r="EE6" s="3555"/>
      <c r="EF6" s="3555"/>
      <c r="EG6" s="3555"/>
      <c r="EH6" s="3555"/>
      <c r="EI6" s="3555"/>
      <c r="EJ6" s="3555"/>
      <c r="EK6" s="3555"/>
      <c r="EL6" s="3555"/>
      <c r="EM6" s="3555"/>
      <c r="EN6" s="3555"/>
      <c r="EO6" s="3555"/>
      <c r="EP6" s="3555"/>
      <c r="EQ6" s="3555"/>
      <c r="ER6" s="3555"/>
      <c r="ES6" s="3555"/>
      <c r="ET6" s="3555"/>
      <c r="EU6" s="3555"/>
      <c r="EV6" s="3555"/>
      <c r="EW6" s="3555"/>
      <c r="EX6" s="3555"/>
      <c r="EY6" s="3555"/>
      <c r="EZ6" s="3555"/>
      <c r="FA6" s="3555"/>
      <c r="FB6" s="3555"/>
      <c r="FC6" s="3555"/>
      <c r="FD6" s="3555"/>
      <c r="FE6" s="3555"/>
      <c r="FF6" s="3555"/>
      <c r="FG6" s="3555"/>
      <c r="FH6" s="3555"/>
      <c r="FI6" s="3555"/>
      <c r="FJ6" s="3555"/>
      <c r="FK6" s="3555"/>
      <c r="FL6" s="3555"/>
      <c r="FM6" s="3555"/>
      <c r="FN6" s="3555"/>
      <c r="FO6" s="3555"/>
      <c r="FP6" s="3555"/>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55"/>
      <c r="MK6" s="3595" t="s">
        <v>3040</v>
      </c>
      <c r="ML6" s="3595" t="s">
        <v>3041</v>
      </c>
      <c r="MM6" s="3595" t="s">
        <v>3042</v>
      </c>
      <c r="MN6" s="3595" t="s">
        <v>3043</v>
      </c>
      <c r="MO6" s="3595" t="s">
        <v>3044</v>
      </c>
      <c r="MP6" s="3555" t="s">
        <v>6280</v>
      </c>
      <c r="MQ6" s="3555" t="s">
        <v>6281</v>
      </c>
      <c r="MR6" s="3555" t="s">
        <v>6282</v>
      </c>
      <c r="MS6" s="3555" t="s">
        <v>6283</v>
      </c>
      <c r="MT6" s="3555"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583"/>
      <c r="B7" s="23" t="s">
        <v>6095</v>
      </c>
      <c r="E7" s="4"/>
      <c r="G7" s="1246" t="s">
        <v>2652</v>
      </c>
      <c r="I7" s="3588" t="s">
        <v>4070</v>
      </c>
      <c r="J7" s="686" t="s">
        <v>742</v>
      </c>
      <c r="K7" s="686" t="s">
        <v>3182</v>
      </c>
      <c r="L7" s="3557"/>
      <c r="M7" s="3557"/>
      <c r="N7" s="3557"/>
      <c r="O7" s="1718" t="s">
        <v>6075</v>
      </c>
      <c r="P7" s="1543">
        <v>44669</v>
      </c>
      <c r="Q7" s="3623"/>
      <c r="R7" s="3592" t="s">
        <v>2457</v>
      </c>
      <c r="S7" s="3592"/>
      <c r="X7" s="3555"/>
      <c r="Y7" s="3555"/>
      <c r="Z7" s="3555"/>
      <c r="AA7" s="3555"/>
      <c r="AB7" s="3555"/>
      <c r="AC7" s="3555"/>
      <c r="AD7" s="3555"/>
      <c r="AE7" s="3555"/>
      <c r="AF7" s="3555"/>
      <c r="AG7" s="3555"/>
      <c r="AH7" s="3555"/>
      <c r="AI7" s="3555"/>
      <c r="AJ7" s="3555"/>
      <c r="AK7" s="3555"/>
      <c r="AL7" s="3555"/>
      <c r="AM7" s="3555"/>
      <c r="AN7" s="3555"/>
      <c r="AO7" s="3555"/>
      <c r="AP7" s="3555"/>
      <c r="AQ7" s="3555"/>
      <c r="AR7" s="3555"/>
      <c r="AS7" s="3555"/>
      <c r="AT7" s="3555"/>
      <c r="AU7" s="3555"/>
      <c r="AV7" s="3555"/>
      <c r="AW7" s="3555"/>
      <c r="AX7" s="3555"/>
      <c r="AY7" s="3555"/>
      <c r="AZ7" s="3555"/>
      <c r="BA7" s="3555"/>
      <c r="BB7" s="3555"/>
      <c r="BC7" s="3555"/>
      <c r="BD7" s="3555"/>
      <c r="BE7" s="3555"/>
      <c r="BF7" s="3555"/>
      <c r="BG7" s="3555"/>
      <c r="BH7" s="3555"/>
      <c r="BI7" s="3555"/>
      <c r="BJ7" s="3555"/>
      <c r="BK7" s="3555"/>
      <c r="BL7" s="3555"/>
      <c r="BM7" s="3555"/>
      <c r="BN7" s="3555"/>
      <c r="BO7" s="3555"/>
      <c r="BP7" s="3555"/>
      <c r="BQ7" s="3555"/>
      <c r="BR7" s="3555"/>
      <c r="BS7" s="3555"/>
      <c r="BT7" s="3555"/>
      <c r="BU7" s="3555"/>
      <c r="BV7" s="3555"/>
      <c r="BW7" s="3555"/>
      <c r="BX7" s="3555"/>
      <c r="BY7" s="3555"/>
      <c r="BZ7" s="3555"/>
      <c r="CA7" s="3555"/>
      <c r="CB7" s="3555"/>
      <c r="CC7" s="3555"/>
      <c r="CD7" s="3555"/>
      <c r="CE7" s="3555"/>
      <c r="CF7" s="3555"/>
      <c r="CG7" s="3555"/>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5"/>
      <c r="DG7" s="3555"/>
      <c r="DH7" s="3555"/>
      <c r="DI7" s="3555"/>
      <c r="DJ7" s="3555"/>
      <c r="DK7" s="3555"/>
      <c r="DL7" s="3555"/>
      <c r="DM7" s="3555"/>
      <c r="DN7" s="3555"/>
      <c r="DO7" s="3555"/>
      <c r="DP7" s="3555"/>
      <c r="DQ7" s="3555"/>
      <c r="DR7" s="3555"/>
      <c r="DS7" s="3555"/>
      <c r="DT7" s="3555"/>
      <c r="DU7" s="3555"/>
      <c r="DV7" s="3555"/>
      <c r="DW7" s="3555"/>
      <c r="DX7" s="3555"/>
      <c r="DY7" s="3555"/>
      <c r="DZ7" s="3555"/>
      <c r="EA7" s="3555"/>
      <c r="EB7" s="3555"/>
      <c r="EC7" s="3555"/>
      <c r="ED7" s="3555"/>
      <c r="EE7" s="3555"/>
      <c r="EF7" s="3555"/>
      <c r="EG7" s="3555"/>
      <c r="EH7" s="3555"/>
      <c r="EI7" s="3555"/>
      <c r="EJ7" s="3555"/>
      <c r="EK7" s="3555"/>
      <c r="EL7" s="3555"/>
      <c r="EM7" s="3555"/>
      <c r="EN7" s="3555"/>
      <c r="EO7" s="3555"/>
      <c r="EP7" s="3555"/>
      <c r="EQ7" s="3555"/>
      <c r="ER7" s="3555"/>
      <c r="ES7" s="3555"/>
      <c r="ET7" s="3555"/>
      <c r="EU7" s="3555"/>
      <c r="EV7" s="3555"/>
      <c r="EW7" s="3555"/>
      <c r="EX7" s="3555"/>
      <c r="EY7" s="3555"/>
      <c r="EZ7" s="3555"/>
      <c r="FA7" s="3555"/>
      <c r="FB7" s="3555"/>
      <c r="FC7" s="3555"/>
      <c r="FD7" s="3555"/>
      <c r="FE7" s="3555"/>
      <c r="FF7" s="3555"/>
      <c r="FG7" s="3555"/>
      <c r="FH7" s="3555"/>
      <c r="FI7" s="3555"/>
      <c r="FJ7" s="3555"/>
      <c r="FK7" s="3555"/>
      <c r="FL7" s="3555"/>
      <c r="FM7" s="3555"/>
      <c r="FN7" s="3555"/>
      <c r="FO7" s="3555"/>
      <c r="FP7" s="3555"/>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55"/>
      <c r="MK7" s="3595"/>
      <c r="ML7" s="3595"/>
      <c r="MM7" s="3595"/>
      <c r="MN7" s="3595"/>
      <c r="MO7" s="3595"/>
      <c r="MP7" s="3555"/>
      <c r="MQ7" s="3555"/>
      <c r="MR7" s="3555"/>
      <c r="MS7" s="3555"/>
      <c r="MT7" s="355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583"/>
      <c r="B8" s="831" t="s">
        <v>3763</v>
      </c>
      <c r="C8" s="1"/>
      <c r="E8" s="1"/>
      <c r="F8" s="1"/>
      <c r="I8" s="3588"/>
      <c r="J8" s="686" t="s">
        <v>743</v>
      </c>
      <c r="K8" s="686" t="s">
        <v>3183</v>
      </c>
      <c r="L8" s="667"/>
      <c r="M8" s="667"/>
      <c r="N8" s="1716" t="s">
        <v>6479</v>
      </c>
      <c r="O8" s="3590" t="s">
        <v>7049</v>
      </c>
      <c r="P8" s="3591"/>
      <c r="Q8" s="3623"/>
      <c r="R8" s="668"/>
      <c r="S8" s="670" t="s">
        <v>2454</v>
      </c>
      <c r="T8" s="337"/>
      <c r="W8" s="338"/>
      <c r="X8" s="3555"/>
      <c r="Y8" s="3555"/>
      <c r="Z8" s="3555"/>
      <c r="AA8" s="3555"/>
      <c r="AB8" s="3555"/>
      <c r="AC8" s="3555"/>
      <c r="AD8" s="3555"/>
      <c r="AE8" s="3555"/>
      <c r="AF8" s="3555"/>
      <c r="AG8" s="3555"/>
      <c r="AH8" s="3555"/>
      <c r="AI8" s="3555"/>
      <c r="AJ8" s="3555"/>
      <c r="AK8" s="3555"/>
      <c r="AL8" s="3555"/>
      <c r="AM8" s="3555"/>
      <c r="AN8" s="3555"/>
      <c r="AO8" s="3555"/>
      <c r="AP8" s="3555"/>
      <c r="AQ8" s="3555"/>
      <c r="AR8" s="3555"/>
      <c r="AS8" s="3555"/>
      <c r="AT8" s="3555"/>
      <c r="AU8" s="3555"/>
      <c r="AV8" s="3555"/>
      <c r="AW8" s="3555"/>
      <c r="AX8" s="3555"/>
      <c r="AY8" s="3555"/>
      <c r="AZ8" s="3555"/>
      <c r="BA8" s="3555"/>
      <c r="BB8" s="3555"/>
      <c r="BC8" s="3555"/>
      <c r="BD8" s="3555"/>
      <c r="BE8" s="3555"/>
      <c r="BF8" s="3555"/>
      <c r="BG8" s="3555"/>
      <c r="BH8" s="3555"/>
      <c r="BI8" s="3555"/>
      <c r="BJ8" s="3555"/>
      <c r="BK8" s="3555"/>
      <c r="BL8" s="3555"/>
      <c r="BM8" s="3555"/>
      <c r="BN8" s="3555"/>
      <c r="BO8" s="3555"/>
      <c r="BP8" s="3555"/>
      <c r="BQ8" s="3555"/>
      <c r="BR8" s="3555"/>
      <c r="BS8" s="3555"/>
      <c r="BT8" s="3555"/>
      <c r="BU8" s="3555"/>
      <c r="BV8" s="3555"/>
      <c r="BW8" s="3555"/>
      <c r="BX8" s="3555"/>
      <c r="BY8" s="3555"/>
      <c r="BZ8" s="3555"/>
      <c r="CA8" s="3555"/>
      <c r="CB8" s="3555"/>
      <c r="CC8" s="3555"/>
      <c r="CD8" s="3555"/>
      <c r="CE8" s="3555"/>
      <c r="CF8" s="3555"/>
      <c r="CG8" s="3555"/>
      <c r="CH8" s="3555"/>
      <c r="CI8" s="3555"/>
      <c r="CJ8" s="3555"/>
      <c r="CK8" s="3555"/>
      <c r="CL8" s="3555"/>
      <c r="CM8" s="3555"/>
      <c r="CN8" s="3555"/>
      <c r="CO8" s="3555"/>
      <c r="CP8" s="3555"/>
      <c r="CQ8" s="3555"/>
      <c r="CR8" s="3555"/>
      <c r="CS8" s="3555"/>
      <c r="CT8" s="3555"/>
      <c r="CU8" s="3555"/>
      <c r="CV8" s="3555"/>
      <c r="CW8" s="3555"/>
      <c r="CX8" s="3555"/>
      <c r="CY8" s="3555"/>
      <c r="CZ8" s="3555"/>
      <c r="DA8" s="3555"/>
      <c r="DB8" s="3555"/>
      <c r="DC8" s="3555"/>
      <c r="DD8" s="3555"/>
      <c r="DE8" s="3555"/>
      <c r="DF8" s="3555"/>
      <c r="DG8" s="3555"/>
      <c r="DH8" s="3555"/>
      <c r="DI8" s="3555"/>
      <c r="DJ8" s="3555"/>
      <c r="DK8" s="3555"/>
      <c r="DL8" s="3555"/>
      <c r="DM8" s="3555"/>
      <c r="DN8" s="3555"/>
      <c r="DO8" s="3555"/>
      <c r="DP8" s="3555"/>
      <c r="DQ8" s="3555"/>
      <c r="DR8" s="3555"/>
      <c r="DS8" s="3555"/>
      <c r="DT8" s="3555"/>
      <c r="DU8" s="3555"/>
      <c r="DV8" s="3555"/>
      <c r="DW8" s="3555"/>
      <c r="DX8" s="3555"/>
      <c r="DY8" s="3555"/>
      <c r="DZ8" s="3555"/>
      <c r="EA8" s="3555"/>
      <c r="EB8" s="3555"/>
      <c r="EC8" s="3555"/>
      <c r="ED8" s="3555"/>
      <c r="EE8" s="3555"/>
      <c r="EF8" s="3555"/>
      <c r="EG8" s="3555"/>
      <c r="EH8" s="3555"/>
      <c r="EI8" s="3555"/>
      <c r="EJ8" s="3555"/>
      <c r="EK8" s="3555"/>
      <c r="EL8" s="3555"/>
      <c r="EM8" s="3555"/>
      <c r="EN8" s="3555"/>
      <c r="EO8" s="3555"/>
      <c r="EP8" s="3555"/>
      <c r="EQ8" s="3555"/>
      <c r="ER8" s="3555"/>
      <c r="ES8" s="3555"/>
      <c r="ET8" s="3555"/>
      <c r="EU8" s="3555"/>
      <c r="EV8" s="3555"/>
      <c r="EW8" s="3555"/>
      <c r="EX8" s="3555"/>
      <c r="EY8" s="3555"/>
      <c r="EZ8" s="3555"/>
      <c r="FA8" s="3555"/>
      <c r="FB8" s="3555"/>
      <c r="FC8" s="3555"/>
      <c r="FD8" s="3555"/>
      <c r="FE8" s="3555"/>
      <c r="FF8" s="3555"/>
      <c r="FG8" s="3555"/>
      <c r="FH8" s="3555"/>
      <c r="FI8" s="3555"/>
      <c r="FJ8" s="3555"/>
      <c r="FK8" s="3555"/>
      <c r="FL8" s="3555"/>
      <c r="FM8" s="3555"/>
      <c r="FN8" s="3555"/>
      <c r="FO8" s="3555"/>
      <c r="FP8" s="3555"/>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55"/>
      <c r="MK8" s="3595"/>
      <c r="ML8" s="3595"/>
      <c r="MM8" s="3595"/>
      <c r="MN8" s="3595"/>
      <c r="MO8" s="3595"/>
      <c r="MP8" s="3555"/>
      <c r="MQ8" s="3555"/>
      <c r="MR8" s="3555"/>
      <c r="MS8" s="3555"/>
      <c r="MT8" s="355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3"/>
      <c r="B9" s="1109" t="s">
        <v>3764</v>
      </c>
      <c r="C9" s="686" t="s">
        <v>165</v>
      </c>
      <c r="D9" s="686" t="s">
        <v>510</v>
      </c>
      <c r="E9" s="686" t="s">
        <v>1382</v>
      </c>
      <c r="F9" s="686" t="s">
        <v>1382</v>
      </c>
      <c r="G9" s="3588" t="s">
        <v>6091</v>
      </c>
      <c r="H9" s="830" t="s">
        <v>3301</v>
      </c>
      <c r="I9" s="3588"/>
      <c r="J9" s="3584" t="s">
        <v>6085</v>
      </c>
      <c r="K9" s="686" t="s">
        <v>2217</v>
      </c>
      <c r="L9" s="3593" t="s">
        <v>139</v>
      </c>
      <c r="M9" s="3594"/>
      <c r="N9" s="686" t="s">
        <v>2184</v>
      </c>
      <c r="O9" s="686" t="s">
        <v>6482</v>
      </c>
      <c r="P9" s="3586" t="s">
        <v>6244</v>
      </c>
      <c r="Q9" s="3623"/>
      <c r="R9" s="686" t="s">
        <v>2453</v>
      </c>
      <c r="S9" s="686" t="s">
        <v>2455</v>
      </c>
      <c r="T9" s="339"/>
      <c r="W9" s="340"/>
      <c r="X9" s="3555"/>
      <c r="Y9" s="3555"/>
      <c r="Z9" s="3555"/>
      <c r="AA9" s="3555"/>
      <c r="AB9" s="3555"/>
      <c r="AC9" s="3555"/>
      <c r="AD9" s="3555"/>
      <c r="AE9" s="3555"/>
      <c r="AF9" s="3555"/>
      <c r="AG9" s="3555"/>
      <c r="AH9" s="3555"/>
      <c r="AI9" s="3555"/>
      <c r="AJ9" s="3555"/>
      <c r="AK9" s="3555"/>
      <c r="AL9" s="3555"/>
      <c r="AM9" s="3555"/>
      <c r="AN9" s="3555"/>
      <c r="AO9" s="3555"/>
      <c r="AP9" s="3555"/>
      <c r="AQ9" s="3555"/>
      <c r="AR9" s="3555"/>
      <c r="AS9" s="3555"/>
      <c r="AT9" s="3555"/>
      <c r="AU9" s="3555"/>
      <c r="AV9" s="3555"/>
      <c r="AW9" s="3555"/>
      <c r="AX9" s="3555"/>
      <c r="AY9" s="3555"/>
      <c r="AZ9" s="3555"/>
      <c r="BA9" s="3555"/>
      <c r="BB9" s="3555"/>
      <c r="BC9" s="3555"/>
      <c r="BD9" s="3555"/>
      <c r="BE9" s="3555"/>
      <c r="BF9" s="3555"/>
      <c r="BG9" s="3555"/>
      <c r="BH9" s="3555"/>
      <c r="BI9" s="3555"/>
      <c r="BJ9" s="3555"/>
      <c r="BK9" s="3555"/>
      <c r="BL9" s="3555"/>
      <c r="BM9" s="3555"/>
      <c r="BN9" s="3555"/>
      <c r="BO9" s="3555"/>
      <c r="BP9" s="3555"/>
      <c r="BQ9" s="3555"/>
      <c r="BR9" s="3555"/>
      <c r="BS9" s="3555"/>
      <c r="BT9" s="3555"/>
      <c r="BU9" s="3555"/>
      <c r="BV9" s="3555"/>
      <c r="BW9" s="3555"/>
      <c r="BX9" s="3555"/>
      <c r="BY9" s="3555"/>
      <c r="BZ9" s="3555"/>
      <c r="CA9" s="3555"/>
      <c r="CB9" s="3555"/>
      <c r="CC9" s="3555"/>
      <c r="CD9" s="3555"/>
      <c r="CE9" s="3555"/>
      <c r="CF9" s="3555"/>
      <c r="CG9" s="3555"/>
      <c r="CH9" s="3555"/>
      <c r="CI9" s="3555"/>
      <c r="CJ9" s="3555"/>
      <c r="CK9" s="3555"/>
      <c r="CL9" s="3555"/>
      <c r="CM9" s="3555"/>
      <c r="CN9" s="3555"/>
      <c r="CO9" s="3555"/>
      <c r="CP9" s="3555"/>
      <c r="CQ9" s="3555"/>
      <c r="CR9" s="3555"/>
      <c r="CS9" s="3555"/>
      <c r="CT9" s="3555"/>
      <c r="CU9" s="3555"/>
      <c r="CV9" s="3555"/>
      <c r="CW9" s="3555"/>
      <c r="CX9" s="3555"/>
      <c r="CY9" s="3555"/>
      <c r="CZ9" s="3555"/>
      <c r="DA9" s="3555"/>
      <c r="DB9" s="3555"/>
      <c r="DC9" s="3555"/>
      <c r="DD9" s="3555"/>
      <c r="DE9" s="3555"/>
      <c r="DF9" s="3555"/>
      <c r="DG9" s="3555"/>
      <c r="DH9" s="3555"/>
      <c r="DI9" s="3555"/>
      <c r="DJ9" s="3555"/>
      <c r="DK9" s="3555"/>
      <c r="DL9" s="3555"/>
      <c r="DM9" s="3555"/>
      <c r="DN9" s="3555"/>
      <c r="DO9" s="3555"/>
      <c r="DP9" s="3555"/>
      <c r="DQ9" s="3555"/>
      <c r="DR9" s="3555"/>
      <c r="DS9" s="3555"/>
      <c r="DT9" s="3555"/>
      <c r="DU9" s="3555"/>
      <c r="DV9" s="3555"/>
      <c r="DW9" s="3555"/>
      <c r="DX9" s="3555"/>
      <c r="DY9" s="3555"/>
      <c r="DZ9" s="3555"/>
      <c r="EA9" s="3555"/>
      <c r="EB9" s="3555"/>
      <c r="EC9" s="3555"/>
      <c r="ED9" s="3555"/>
      <c r="EE9" s="3555"/>
      <c r="EF9" s="3555"/>
      <c r="EG9" s="3555"/>
      <c r="EH9" s="3555"/>
      <c r="EI9" s="3555"/>
      <c r="EJ9" s="3555"/>
      <c r="EK9" s="3555"/>
      <c r="EL9" s="3555"/>
      <c r="EM9" s="3555"/>
      <c r="EN9" s="3555"/>
      <c r="EO9" s="3555"/>
      <c r="EP9" s="3555"/>
      <c r="EQ9" s="3555"/>
      <c r="ER9" s="3555"/>
      <c r="ES9" s="3555"/>
      <c r="ET9" s="3555"/>
      <c r="EU9" s="3555"/>
      <c r="EV9" s="3555"/>
      <c r="EW9" s="3555"/>
      <c r="EX9" s="3555"/>
      <c r="EY9" s="3555"/>
      <c r="EZ9" s="3555"/>
      <c r="FA9" s="3555"/>
      <c r="FB9" s="3555"/>
      <c r="FC9" s="3555"/>
      <c r="FD9" s="3555"/>
      <c r="FE9" s="3555"/>
      <c r="FF9" s="3555"/>
      <c r="FG9" s="3555"/>
      <c r="FH9" s="3555"/>
      <c r="FI9" s="3555"/>
      <c r="FJ9" s="3555"/>
      <c r="FK9" s="3555"/>
      <c r="FL9" s="3555"/>
      <c r="FM9" s="3555"/>
      <c r="FN9" s="3555"/>
      <c r="FO9" s="3555"/>
      <c r="FP9" s="3555"/>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t="s">
        <v>1371</v>
      </c>
      <c r="IA9" s="1884" t="s">
        <v>2245</v>
      </c>
      <c r="IB9" s="1884" t="s">
        <v>2246</v>
      </c>
      <c r="IC9" s="1884" t="s">
        <v>2247</v>
      </c>
      <c r="ID9" s="1884" t="s">
        <v>2248</v>
      </c>
      <c r="IE9" s="3555" t="s">
        <v>2299</v>
      </c>
      <c r="IF9" s="3555" t="s">
        <v>2299</v>
      </c>
      <c r="IG9" s="3555" t="s">
        <v>2299</v>
      </c>
      <c r="IH9" s="3555" t="s">
        <v>2299</v>
      </c>
      <c r="II9" s="3555" t="s">
        <v>2299</v>
      </c>
      <c r="IJ9" s="3555" t="s">
        <v>3000</v>
      </c>
      <c r="IK9" s="3555" t="s">
        <v>3000</v>
      </c>
      <c r="IL9" s="3555" t="s">
        <v>3000</v>
      </c>
      <c r="IM9" s="3555" t="s">
        <v>3000</v>
      </c>
      <c r="IN9" s="3555" t="s">
        <v>3000</v>
      </c>
      <c r="IO9" s="1884" t="s">
        <v>526</v>
      </c>
      <c r="IP9" s="1884" t="s">
        <v>2245</v>
      </c>
      <c r="IQ9" s="1884" t="s">
        <v>2246</v>
      </c>
      <c r="IR9" s="1884" t="s">
        <v>2247</v>
      </c>
      <c r="IS9" s="1884" t="s">
        <v>2248</v>
      </c>
      <c r="IT9" s="1884" t="s">
        <v>526</v>
      </c>
      <c r="IU9" s="1884" t="s">
        <v>2245</v>
      </c>
      <c r="IV9" s="1884" t="s">
        <v>2246</v>
      </c>
      <c r="IW9" s="1884" t="s">
        <v>2247</v>
      </c>
      <c r="IX9" s="1884" t="s">
        <v>2248</v>
      </c>
      <c r="IY9" s="3555" t="s">
        <v>6285</v>
      </c>
      <c r="IZ9" s="3555" t="s">
        <v>6285</v>
      </c>
      <c r="JA9" s="3555" t="s">
        <v>6285</v>
      </c>
      <c r="JB9" s="3555" t="s">
        <v>6285</v>
      </c>
      <c r="JC9" s="3555" t="s">
        <v>6285</v>
      </c>
      <c r="JD9" s="3555" t="s">
        <v>6286</v>
      </c>
      <c r="JE9" s="3555" t="s">
        <v>6286</v>
      </c>
      <c r="JF9" s="3555" t="s">
        <v>6286</v>
      </c>
      <c r="JG9" s="3555" t="s">
        <v>6286</v>
      </c>
      <c r="JH9" s="3555" t="s">
        <v>6286</v>
      </c>
      <c r="JI9" s="3555" t="s">
        <v>6288</v>
      </c>
      <c r="JJ9" s="3555" t="s">
        <v>6288</v>
      </c>
      <c r="JK9" s="3555" t="s">
        <v>6288</v>
      </c>
      <c r="JL9" s="3555" t="s">
        <v>6288</v>
      </c>
      <c r="JM9" s="3555" t="s">
        <v>6288</v>
      </c>
      <c r="JN9" s="3555" t="s">
        <v>6289</v>
      </c>
      <c r="JO9" s="3555" t="s">
        <v>6289</v>
      </c>
      <c r="JP9" s="3555" t="s">
        <v>6289</v>
      </c>
      <c r="JQ9" s="3555" t="s">
        <v>6289</v>
      </c>
      <c r="JR9" s="3555" t="s">
        <v>6289</v>
      </c>
      <c r="JS9" s="3555" t="s">
        <v>6290</v>
      </c>
      <c r="JT9" s="3555" t="s">
        <v>6290</v>
      </c>
      <c r="JU9" s="3555" t="s">
        <v>6290</v>
      </c>
      <c r="JV9" s="3555" t="s">
        <v>6290</v>
      </c>
      <c r="JW9" s="3555" t="s">
        <v>6290</v>
      </c>
      <c r="JX9" s="3555" t="s">
        <v>6483</v>
      </c>
      <c r="JY9" s="3555" t="s">
        <v>6483</v>
      </c>
      <c r="JZ9" s="3555" t="s">
        <v>6483</v>
      </c>
      <c r="KA9" s="3555" t="s">
        <v>6483</v>
      </c>
      <c r="KB9" s="3555" t="s">
        <v>6483</v>
      </c>
      <c r="KC9" s="3555" t="s">
        <v>6648</v>
      </c>
      <c r="KD9" s="3555" t="s">
        <v>6648</v>
      </c>
      <c r="KE9" s="3555" t="s">
        <v>6648</v>
      </c>
      <c r="KF9" s="3555" t="s">
        <v>6648</v>
      </c>
      <c r="KG9" s="3555" t="s">
        <v>6648</v>
      </c>
      <c r="KH9" s="3555" t="s">
        <v>6649</v>
      </c>
      <c r="KI9" s="3555" t="s">
        <v>6649</v>
      </c>
      <c r="KJ9" s="3555" t="s">
        <v>6649</v>
      </c>
      <c r="KK9" s="3555" t="s">
        <v>6649</v>
      </c>
      <c r="KL9" s="3555" t="s">
        <v>6649</v>
      </c>
      <c r="KM9" s="3555" t="s">
        <v>6292</v>
      </c>
      <c r="KN9" s="3555" t="s">
        <v>6292</v>
      </c>
      <c r="KO9" s="3555" t="s">
        <v>6292</v>
      </c>
      <c r="KP9" s="3555" t="s">
        <v>6292</v>
      </c>
      <c r="KQ9" s="3555" t="s">
        <v>6292</v>
      </c>
      <c r="KR9" s="3555" t="s">
        <v>6484</v>
      </c>
      <c r="KS9" s="3555" t="s">
        <v>6484</v>
      </c>
      <c r="KT9" s="3555" t="s">
        <v>6484</v>
      </c>
      <c r="KU9" s="3555" t="s">
        <v>6484</v>
      </c>
      <c r="KV9" s="3555" t="s">
        <v>6484</v>
      </c>
      <c r="KW9" s="3555" t="s">
        <v>6650</v>
      </c>
      <c r="KX9" s="3555" t="s">
        <v>6650</v>
      </c>
      <c r="KY9" s="3555" t="s">
        <v>6650</v>
      </c>
      <c r="KZ9" s="3555" t="s">
        <v>6650</v>
      </c>
      <c r="LA9" s="3555" t="s">
        <v>6650</v>
      </c>
      <c r="LB9" s="3555" t="s">
        <v>6651</v>
      </c>
      <c r="LC9" s="3555" t="s">
        <v>6651</v>
      </c>
      <c r="LD9" s="3555" t="s">
        <v>6651</v>
      </c>
      <c r="LE9" s="3555" t="s">
        <v>6651</v>
      </c>
      <c r="LF9" s="3555" t="s">
        <v>6651</v>
      </c>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95"/>
      <c r="ML9" s="3595"/>
      <c r="MM9" s="3595"/>
      <c r="MN9" s="3595"/>
      <c r="MO9" s="3595"/>
      <c r="MP9" s="3555"/>
      <c r="MQ9" s="3555"/>
      <c r="MR9" s="3555"/>
      <c r="MS9" s="3555"/>
      <c r="MT9" s="355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3"/>
      <c r="B10" s="1264" t="s">
        <v>3931</v>
      </c>
      <c r="C10" s="686" t="s">
        <v>164</v>
      </c>
      <c r="D10" s="686" t="s">
        <v>166</v>
      </c>
      <c r="E10" s="686" t="s">
        <v>1383</v>
      </c>
      <c r="F10" s="686" t="s">
        <v>1203</v>
      </c>
      <c r="G10" s="3589"/>
      <c r="H10" s="686" t="s">
        <v>6092</v>
      </c>
      <c r="I10" s="3589"/>
      <c r="J10" s="3585"/>
      <c r="K10" s="358" t="s">
        <v>334</v>
      </c>
      <c r="L10" s="686" t="s">
        <v>1432</v>
      </c>
      <c r="M10" s="686" t="s">
        <v>504</v>
      </c>
      <c r="N10" s="686" t="s">
        <v>1382</v>
      </c>
      <c r="O10" s="686" t="s">
        <v>6496</v>
      </c>
      <c r="P10" s="3587"/>
      <c r="Q10" s="3624"/>
      <c r="R10" s="686" t="s">
        <v>1384</v>
      </c>
      <c r="S10" s="686" t="s">
        <v>2456</v>
      </c>
      <c r="T10" s="10" t="s">
        <v>1711</v>
      </c>
      <c r="W10" s="10"/>
      <c r="X10" s="3555"/>
      <c r="Y10" s="3555"/>
      <c r="Z10" s="3555"/>
      <c r="AA10" s="3555"/>
      <c r="AB10" s="3555"/>
      <c r="AC10" s="3555"/>
      <c r="AD10" s="3555"/>
      <c r="AE10" s="3555"/>
      <c r="AF10" s="3555"/>
      <c r="AG10" s="3555"/>
      <c r="AH10" s="3555"/>
      <c r="AI10" s="3555"/>
      <c r="AJ10" s="3555"/>
      <c r="AK10" s="3555"/>
      <c r="AL10" s="3555"/>
      <c r="AM10" s="3555"/>
      <c r="AN10" s="3555"/>
      <c r="AO10" s="3555"/>
      <c r="AP10" s="3555"/>
      <c r="AQ10" s="3555"/>
      <c r="AR10" s="3555"/>
      <c r="AS10" s="3555"/>
      <c r="AT10" s="3555"/>
      <c r="AU10" s="3555"/>
      <c r="AV10" s="3555"/>
      <c r="AW10" s="3555"/>
      <c r="AX10" s="3555"/>
      <c r="AY10" s="3555"/>
      <c r="AZ10" s="3555"/>
      <c r="BA10" s="3555"/>
      <c r="BB10" s="3555"/>
      <c r="BC10" s="3555"/>
      <c r="BD10" s="3555"/>
      <c r="BE10" s="3555"/>
      <c r="BF10" s="3555"/>
      <c r="BG10" s="3555"/>
      <c r="BH10" s="3555"/>
      <c r="BI10" s="3555"/>
      <c r="BJ10" s="3555"/>
      <c r="BK10" s="3555"/>
      <c r="BL10" s="3555"/>
      <c r="BM10" s="3555"/>
      <c r="BN10" s="3555"/>
      <c r="BO10" s="3555"/>
      <c r="BP10" s="3555"/>
      <c r="BQ10" s="3555"/>
      <c r="BR10" s="3555"/>
      <c r="BS10" s="3555"/>
      <c r="BT10" s="3555"/>
      <c r="BU10" s="3555"/>
      <c r="BV10" s="3555"/>
      <c r="BW10" s="3555"/>
      <c r="BX10" s="3555"/>
      <c r="BY10" s="3555"/>
      <c r="BZ10" s="3555"/>
      <c r="CA10" s="3555"/>
      <c r="CB10" s="3555"/>
      <c r="CC10" s="3555"/>
      <c r="CD10" s="3555"/>
      <c r="CE10" s="3555"/>
      <c r="CF10" s="3555"/>
      <c r="CG10" s="3555"/>
      <c r="CH10" s="3555"/>
      <c r="CI10" s="3555"/>
      <c r="CJ10" s="3555"/>
      <c r="CK10" s="3555"/>
      <c r="CL10" s="3555"/>
      <c r="CM10" s="3555"/>
      <c r="CN10" s="3555"/>
      <c r="CO10" s="3555"/>
      <c r="CP10" s="3555"/>
      <c r="CQ10" s="3555"/>
      <c r="CR10" s="3555"/>
      <c r="CS10" s="3555"/>
      <c r="CT10" s="3555"/>
      <c r="CU10" s="3555"/>
      <c r="CV10" s="3555"/>
      <c r="CW10" s="3555"/>
      <c r="CX10" s="3555"/>
      <c r="CY10" s="3555"/>
      <c r="CZ10" s="3555"/>
      <c r="DA10" s="3555"/>
      <c r="DB10" s="3555"/>
      <c r="DC10" s="3555"/>
      <c r="DD10" s="3555"/>
      <c r="DE10" s="3555"/>
      <c r="DF10" s="3555"/>
      <c r="DG10" s="3555"/>
      <c r="DH10" s="3555"/>
      <c r="DI10" s="3555"/>
      <c r="DJ10" s="3555"/>
      <c r="DK10" s="3555"/>
      <c r="DL10" s="3555"/>
      <c r="DM10" s="3555"/>
      <c r="DN10" s="3555"/>
      <c r="DO10" s="3555"/>
      <c r="DP10" s="3555"/>
      <c r="DQ10" s="3555"/>
      <c r="DR10" s="3555"/>
      <c r="DS10" s="3555"/>
      <c r="DT10" s="3555"/>
      <c r="DU10" s="3555"/>
      <c r="DV10" s="3555"/>
      <c r="DW10" s="3555"/>
      <c r="DX10" s="3555"/>
      <c r="DY10" s="3555"/>
      <c r="DZ10" s="3555"/>
      <c r="EA10" s="3555"/>
      <c r="EB10" s="3555"/>
      <c r="EC10" s="3555"/>
      <c r="ED10" s="3555"/>
      <c r="EE10" s="3555"/>
      <c r="EF10" s="3555"/>
      <c r="EG10" s="3555"/>
      <c r="EH10" s="3555"/>
      <c r="EI10" s="3555"/>
      <c r="EJ10" s="3555"/>
      <c r="EK10" s="3555"/>
      <c r="EL10" s="3555"/>
      <c r="EM10" s="3555"/>
      <c r="EN10" s="3555"/>
      <c r="EO10" s="3555"/>
      <c r="EP10" s="3555"/>
      <c r="EQ10" s="3555"/>
      <c r="ER10" s="3555"/>
      <c r="ES10" s="3555"/>
      <c r="ET10" s="3555"/>
      <c r="EU10" s="3555"/>
      <c r="EV10" s="3555"/>
      <c r="EW10" s="3555"/>
      <c r="EX10" s="3555"/>
      <c r="EY10" s="3555"/>
      <c r="EZ10" s="3555"/>
      <c r="FA10" s="3555"/>
      <c r="FB10" s="3555"/>
      <c r="FC10" s="3555"/>
      <c r="FD10" s="3555"/>
      <c r="FE10" s="3555"/>
      <c r="FF10" s="3555"/>
      <c r="FG10" s="3555"/>
      <c r="FH10" s="3555"/>
      <c r="FI10" s="3555"/>
      <c r="FJ10" s="3555"/>
      <c r="FK10" s="3555"/>
      <c r="FL10" s="3555"/>
      <c r="FM10" s="3555"/>
      <c r="FN10" s="3555"/>
      <c r="FO10" s="3555"/>
      <c r="FP10" s="3555"/>
      <c r="FQ10" s="3555"/>
      <c r="FR10" s="3555"/>
      <c r="FS10" s="3555"/>
      <c r="FT10" s="3555"/>
      <c r="FU10" s="3555"/>
      <c r="FV10" s="3555"/>
      <c r="FW10" s="3555"/>
      <c r="FX10" s="3555"/>
      <c r="FY10" s="3555"/>
      <c r="FZ10" s="3555"/>
      <c r="GA10" s="3555"/>
      <c r="GB10" s="3555"/>
      <c r="GC10" s="3555"/>
      <c r="GD10" s="3555"/>
      <c r="GE10" s="3555"/>
      <c r="GF10" s="3555"/>
      <c r="GG10" s="3555"/>
      <c r="GH10" s="3555"/>
      <c r="GI10" s="3555"/>
      <c r="GJ10" s="3555"/>
      <c r="GK10" s="3555"/>
      <c r="GL10" s="3555"/>
      <c r="GM10" s="3555"/>
      <c r="GN10" s="3555"/>
      <c r="GO10" s="3555"/>
      <c r="GP10" s="3555"/>
      <c r="GQ10" s="3555"/>
      <c r="GR10" s="3555"/>
      <c r="GS10" s="3555"/>
      <c r="GT10" s="3555"/>
      <c r="GU10" s="3555"/>
      <c r="GV10" s="3555"/>
      <c r="GW10" s="3555"/>
      <c r="GX10" s="3555"/>
      <c r="GY10" s="3555"/>
      <c r="GZ10" s="3555"/>
      <c r="HA10" s="3555"/>
      <c r="HB10" s="3555"/>
      <c r="HC10" s="3555"/>
      <c r="HD10" s="3555"/>
      <c r="HE10" s="3555"/>
      <c r="HF10" s="3555"/>
      <c r="HG10" s="3555"/>
      <c r="HH10" s="3555"/>
      <c r="HI10" s="3555"/>
      <c r="HJ10" s="3555"/>
      <c r="HK10" s="3555"/>
      <c r="HL10" s="3555"/>
      <c r="HM10" s="3555"/>
      <c r="HN10" s="3555"/>
      <c r="HO10" s="3555"/>
      <c r="HP10" s="3555"/>
      <c r="HQ10" s="3555"/>
      <c r="HR10" s="3555"/>
      <c r="HS10" s="3555"/>
      <c r="HT10" s="3555"/>
      <c r="HU10" s="3555"/>
      <c r="HV10" s="3555"/>
      <c r="HW10" s="3555"/>
      <c r="HX10" s="3555"/>
      <c r="HY10" s="3555"/>
      <c r="HZ10" s="3555"/>
      <c r="IA10" s="1884" t="s">
        <v>2298</v>
      </c>
      <c r="IB10" s="1884" t="s">
        <v>2298</v>
      </c>
      <c r="IC10" s="1884" t="s">
        <v>2298</v>
      </c>
      <c r="ID10" s="1884" t="s">
        <v>2298</v>
      </c>
      <c r="IE10" s="3555"/>
      <c r="IF10" s="3555"/>
      <c r="IG10" s="3555"/>
      <c r="IH10" s="3555"/>
      <c r="II10" s="3555"/>
      <c r="IJ10" s="3555"/>
      <c r="IK10" s="3555"/>
      <c r="IL10" s="3555"/>
      <c r="IM10" s="3555"/>
      <c r="IN10" s="3555"/>
      <c r="IO10" s="1884" t="s">
        <v>2300</v>
      </c>
      <c r="IP10" s="1884" t="s">
        <v>2300</v>
      </c>
      <c r="IQ10" s="1884" t="s">
        <v>2300</v>
      </c>
      <c r="IR10" s="1884" t="s">
        <v>2300</v>
      </c>
      <c r="IS10" s="1884" t="s">
        <v>2300</v>
      </c>
      <c r="IT10" s="1884" t="s">
        <v>3001</v>
      </c>
      <c r="IU10" s="1884" t="s">
        <v>3001</v>
      </c>
      <c r="IV10" s="1884" t="s">
        <v>3001</v>
      </c>
      <c r="IW10" s="1884" t="s">
        <v>3001</v>
      </c>
      <c r="IX10" s="1884" t="s">
        <v>3001</v>
      </c>
      <c r="IY10" s="3555"/>
      <c r="IZ10" s="3555"/>
      <c r="JA10" s="3555"/>
      <c r="JB10" s="3555"/>
      <c r="JC10" s="3555"/>
      <c r="JD10" s="3555"/>
      <c r="JE10" s="3555"/>
      <c r="JF10" s="3555"/>
      <c r="JG10" s="3555"/>
      <c r="JH10" s="3555"/>
      <c r="JI10" s="3555"/>
      <c r="JJ10" s="3555"/>
      <c r="JK10" s="3555"/>
      <c r="JL10" s="3555"/>
      <c r="JM10" s="3555"/>
      <c r="JN10" s="3555"/>
      <c r="JO10" s="3555"/>
      <c r="JP10" s="3555"/>
      <c r="JQ10" s="3555"/>
      <c r="JR10" s="3555"/>
      <c r="JS10" s="3555"/>
      <c r="JT10" s="3555"/>
      <c r="JU10" s="3555"/>
      <c r="JV10" s="3555"/>
      <c r="JW10" s="3555"/>
      <c r="JX10" s="3555"/>
      <c r="JY10" s="3555"/>
      <c r="JZ10" s="3555"/>
      <c r="KA10" s="3555"/>
      <c r="KB10" s="3555"/>
      <c r="KC10" s="3555"/>
      <c r="KD10" s="3555"/>
      <c r="KE10" s="3555"/>
      <c r="KF10" s="3555"/>
      <c r="KG10" s="3555"/>
      <c r="KH10" s="3555"/>
      <c r="KI10" s="3555"/>
      <c r="KJ10" s="3555"/>
      <c r="KK10" s="3555"/>
      <c r="KL10" s="3555"/>
      <c r="KM10" s="3555"/>
      <c r="KN10" s="3555"/>
      <c r="KO10" s="3555"/>
      <c r="KP10" s="3555"/>
      <c r="KQ10" s="3555"/>
      <c r="KR10" s="3555"/>
      <c r="KS10" s="3555"/>
      <c r="KT10" s="3555"/>
      <c r="KU10" s="3555"/>
      <c r="KV10" s="3555"/>
      <c r="KW10" s="3555"/>
      <c r="KX10" s="3555"/>
      <c r="KY10" s="3555"/>
      <c r="KZ10" s="3555"/>
      <c r="LA10" s="3555"/>
      <c r="LB10" s="3555"/>
      <c r="LC10" s="3555"/>
      <c r="LD10" s="3555"/>
      <c r="LE10" s="3555"/>
      <c r="LF10" s="3555"/>
      <c r="LG10" s="3555"/>
      <c r="LH10" s="3555"/>
      <c r="LI10" s="3555"/>
      <c r="LJ10" s="3555"/>
      <c r="LK10" s="3555"/>
      <c r="LL10" s="3555"/>
      <c r="LM10" s="3555"/>
      <c r="LN10" s="3555"/>
      <c r="LO10" s="3555"/>
      <c r="LP10" s="3555"/>
      <c r="LQ10" s="3555"/>
      <c r="LR10" s="3555"/>
      <c r="LS10" s="3555"/>
      <c r="LT10" s="3555"/>
      <c r="LU10" s="3555"/>
      <c r="LV10" s="3555"/>
      <c r="LW10" s="3555"/>
      <c r="LX10" s="3555"/>
      <c r="LY10" s="3555"/>
      <c r="LZ10" s="3555"/>
      <c r="MA10" s="3555"/>
      <c r="MB10" s="3555"/>
      <c r="MC10" s="3555"/>
      <c r="MD10" s="3555"/>
      <c r="ME10" s="3555"/>
      <c r="MF10" s="3555"/>
      <c r="MG10" s="3555"/>
      <c r="MH10" s="3555"/>
      <c r="MI10" s="3555"/>
      <c r="MJ10" s="3555"/>
      <c r="MK10" s="3595"/>
      <c r="ML10" s="3595"/>
      <c r="MM10" s="3595"/>
      <c r="MN10" s="3595"/>
      <c r="MO10" s="3595"/>
      <c r="MP10" s="3555"/>
      <c r="MQ10" s="3555"/>
      <c r="MR10" s="3555"/>
      <c r="MS10" s="3555"/>
      <c r="MT10" s="355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7"/>
      <c r="U11" s="3658"/>
      <c r="V11" s="3658"/>
      <c r="W11" s="365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4"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4" customHeight="1">
      <c r="A13" s="86">
        <f t="shared" si="0"/>
        <v>1</v>
      </c>
      <c r="B13" s="1081" t="s">
        <v>290</v>
      </c>
      <c r="C13" s="132">
        <v>1</v>
      </c>
      <c r="D13" s="1751">
        <v>1</v>
      </c>
      <c r="E13" s="133">
        <v>1</v>
      </c>
      <c r="F13" s="133">
        <v>650</v>
      </c>
      <c r="G13" s="133"/>
      <c r="H13" s="133">
        <v>1150</v>
      </c>
      <c r="I13" s="133">
        <v>0</v>
      </c>
      <c r="J13" s="1430"/>
      <c r="K13" s="644"/>
      <c r="L13" s="461">
        <f t="shared" si="1"/>
        <v>1150</v>
      </c>
      <c r="M13" s="461">
        <f t="shared" si="2"/>
        <v>1150</v>
      </c>
      <c r="N13" s="695" t="s">
        <v>2652</v>
      </c>
      <c r="O13" s="1683" t="s">
        <v>7050</v>
      </c>
      <c r="P13" s="695" t="s">
        <v>2120</v>
      </c>
      <c r="Q13" s="134" t="s">
        <v>2652</v>
      </c>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650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1</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f t="shared" si="284"/>
        <v>1</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1</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4" customHeight="1">
      <c r="A14" s="86">
        <f t="shared" si="0"/>
        <v>1</v>
      </c>
      <c r="B14" s="1081" t="s">
        <v>290</v>
      </c>
      <c r="C14" s="132">
        <v>2</v>
      </c>
      <c r="D14" s="1751">
        <v>1</v>
      </c>
      <c r="E14" s="133">
        <v>5</v>
      </c>
      <c r="F14" s="133">
        <v>850</v>
      </c>
      <c r="G14" s="133"/>
      <c r="H14" s="133">
        <v>1230</v>
      </c>
      <c r="I14" s="133">
        <v>0</v>
      </c>
      <c r="J14" s="1430"/>
      <c r="K14" s="644"/>
      <c r="L14" s="461">
        <f t="shared" si="1"/>
        <v>1230</v>
      </c>
      <c r="M14" s="461">
        <f t="shared" si="2"/>
        <v>6150</v>
      </c>
      <c r="N14" s="695" t="s">
        <v>2652</v>
      </c>
      <c r="O14" s="1683" t="s">
        <v>7050</v>
      </c>
      <c r="P14" s="695" t="s">
        <v>2120</v>
      </c>
      <c r="Q14" s="134" t="s">
        <v>2652</v>
      </c>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5</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4250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5</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5</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f t="shared" si="285"/>
        <v>5</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5</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4" customHeight="1">
      <c r="A15" s="86">
        <f t="shared" si="0"/>
        <v>1</v>
      </c>
      <c r="B15" s="1081" t="s">
        <v>290</v>
      </c>
      <c r="C15" s="132">
        <v>3</v>
      </c>
      <c r="D15" s="1751">
        <v>2</v>
      </c>
      <c r="E15" s="133">
        <v>4</v>
      </c>
      <c r="F15" s="133">
        <v>1100</v>
      </c>
      <c r="G15" s="133"/>
      <c r="H15" s="133">
        <v>1550</v>
      </c>
      <c r="I15" s="133">
        <v>0</v>
      </c>
      <c r="J15" s="1430"/>
      <c r="K15" s="644"/>
      <c r="L15" s="461">
        <f t="shared" si="1"/>
        <v>1550</v>
      </c>
      <c r="M15" s="461">
        <f t="shared" si="2"/>
        <v>6200</v>
      </c>
      <c r="N15" s="695" t="s">
        <v>2652</v>
      </c>
      <c r="O15" s="1683" t="s">
        <v>7050</v>
      </c>
      <c r="P15" s="695" t="s">
        <v>2120</v>
      </c>
      <c r="Q15" s="134" t="s">
        <v>2652</v>
      </c>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4</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4400</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4</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f t="shared" si="216"/>
        <v>4</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f t="shared" si="286"/>
        <v>4</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4</v>
      </c>
      <c r="MO15" s="1748">
        <f t="shared" si="337"/>
        <v>0</v>
      </c>
      <c r="MP15" s="1748">
        <f t="shared" si="328"/>
        <v>0</v>
      </c>
      <c r="MQ15" s="1748">
        <f t="shared" si="329"/>
        <v>0</v>
      </c>
      <c r="MR15" s="1748">
        <f t="shared" si="330"/>
        <v>0</v>
      </c>
      <c r="MS15" s="1748">
        <f t="shared" si="331"/>
        <v>0</v>
      </c>
      <c r="MT15" s="1748">
        <f t="shared" si="332"/>
        <v>0</v>
      </c>
      <c r="NP15" s="1719" t="s">
        <v>6409</v>
      </c>
    </row>
    <row r="16" spans="1:493" ht="14"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4"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4"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4" customHeight="1">
      <c r="A19" s="86" t="str">
        <f t="shared" si="0"/>
        <v/>
      </c>
      <c r="B19" s="1119">
        <v>60</v>
      </c>
      <c r="C19" s="132">
        <v>1</v>
      </c>
      <c r="D19" s="1751">
        <v>1</v>
      </c>
      <c r="E19" s="133">
        <v>10</v>
      </c>
      <c r="F19" s="133">
        <v>650</v>
      </c>
      <c r="G19" s="133">
        <v>1085</v>
      </c>
      <c r="H19" s="133">
        <v>1084</v>
      </c>
      <c r="I19" s="133">
        <v>0</v>
      </c>
      <c r="J19" s="756">
        <f>IF(C19="",0,HLOOKUP(C19,'Part IV-Utility Allowances'!$I$11:$M$22,12))</f>
        <v>157</v>
      </c>
      <c r="K19" s="644"/>
      <c r="L19" s="461">
        <f t="shared" si="1"/>
        <v>927</v>
      </c>
      <c r="M19" s="461">
        <f t="shared" si="2"/>
        <v>9270</v>
      </c>
      <c r="N19" s="695" t="s">
        <v>2652</v>
      </c>
      <c r="O19" s="1683" t="s">
        <v>7050</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10</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6500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10</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10</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f t="shared" si="284"/>
        <v>10</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4" customHeight="1">
      <c r="A20" s="86" t="str">
        <f t="shared" si="0"/>
        <v/>
      </c>
      <c r="B20" s="1119">
        <v>30</v>
      </c>
      <c r="C20" s="132">
        <v>1</v>
      </c>
      <c r="D20" s="1751">
        <v>1</v>
      </c>
      <c r="E20" s="133">
        <v>1</v>
      </c>
      <c r="F20" s="133">
        <v>650</v>
      </c>
      <c r="G20" s="133">
        <v>542</v>
      </c>
      <c r="H20" s="133">
        <v>542</v>
      </c>
      <c r="I20" s="133">
        <v>0</v>
      </c>
      <c r="J20" s="756">
        <f>IF(C20="",0,HLOOKUP(C20,'Part IV-Utility Allowances'!$I$11:$M$22,12))</f>
        <v>157</v>
      </c>
      <c r="K20" s="644"/>
      <c r="L20" s="461">
        <f t="shared" si="1"/>
        <v>385</v>
      </c>
      <c r="M20" s="461">
        <f t="shared" si="2"/>
        <v>385</v>
      </c>
      <c r="N20" s="695" t="s">
        <v>2652</v>
      </c>
      <c r="O20" s="1683" t="s">
        <v>7050</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f t="shared" si="29"/>
        <v>1</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f t="shared" si="144"/>
        <v>650</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f t="shared" si="284"/>
        <v>1</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4"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4" customHeight="1">
      <c r="A22" s="86" t="str">
        <f t="shared" si="0"/>
        <v/>
      </c>
      <c r="B22" s="1119">
        <v>60</v>
      </c>
      <c r="C22" s="132">
        <v>2</v>
      </c>
      <c r="D22" s="1751">
        <v>1</v>
      </c>
      <c r="E22" s="133">
        <v>17</v>
      </c>
      <c r="F22" s="133">
        <v>850</v>
      </c>
      <c r="G22" s="133">
        <v>1302</v>
      </c>
      <c r="H22" s="133">
        <v>1302</v>
      </c>
      <c r="I22" s="133">
        <v>0</v>
      </c>
      <c r="J22" s="756">
        <f>IF(C22="",0,HLOOKUP(C22,'Part IV-Utility Allowances'!$I$11:$M$22,12))</f>
        <v>226</v>
      </c>
      <c r="K22" s="644"/>
      <c r="L22" s="461">
        <f t="shared" si="1"/>
        <v>1076</v>
      </c>
      <c r="M22" s="461">
        <f t="shared" si="2"/>
        <v>18292</v>
      </c>
      <c r="N22" s="695" t="s">
        <v>2652</v>
      </c>
      <c r="O22" s="1683" t="s">
        <v>7050</v>
      </c>
      <c r="P22" s="695"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17</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14450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17</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17</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f t="shared" si="285"/>
        <v>17</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17</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4" customHeight="1">
      <c r="A23" s="86" t="str">
        <f t="shared" si="0"/>
        <v/>
      </c>
      <c r="B23" s="1119">
        <v>30</v>
      </c>
      <c r="C23" s="132">
        <v>2</v>
      </c>
      <c r="D23" s="1751">
        <v>1</v>
      </c>
      <c r="E23" s="133">
        <v>1</v>
      </c>
      <c r="F23" s="133">
        <v>850</v>
      </c>
      <c r="G23" s="133">
        <v>651</v>
      </c>
      <c r="H23" s="133">
        <v>651</v>
      </c>
      <c r="I23" s="133">
        <v>0</v>
      </c>
      <c r="J23" s="756">
        <f>IF(C23="",0,HLOOKUP(C23,'Part IV-Utility Allowances'!$I$11:$M$22,12))</f>
        <v>226</v>
      </c>
      <c r="K23" s="644"/>
      <c r="L23" s="461">
        <f t="shared" si="1"/>
        <v>425</v>
      </c>
      <c r="M23" s="461">
        <f t="shared" si="2"/>
        <v>425</v>
      </c>
      <c r="N23" s="695" t="s">
        <v>2652</v>
      </c>
      <c r="O23" s="1683" t="s">
        <v>7050</v>
      </c>
      <c r="P23" s="695" t="s">
        <v>2120</v>
      </c>
      <c r="Q23" s="13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f t="shared" si="30"/>
        <v>1</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f t="shared" si="145"/>
        <v>850</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1</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f t="shared" si="285"/>
        <v>1</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1</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4"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4" customHeight="1">
      <c r="A25" s="86" t="str">
        <f t="shared" si="0"/>
        <v/>
      </c>
      <c r="B25" s="1119">
        <v>60</v>
      </c>
      <c r="C25" s="132">
        <v>3</v>
      </c>
      <c r="D25" s="1751">
        <v>2</v>
      </c>
      <c r="E25" s="133">
        <v>7</v>
      </c>
      <c r="F25" s="133">
        <v>1100</v>
      </c>
      <c r="G25" s="133">
        <v>1504</v>
      </c>
      <c r="H25" s="133">
        <v>1504</v>
      </c>
      <c r="I25" s="133">
        <v>0</v>
      </c>
      <c r="J25" s="756">
        <f>IF(C25="",0,HLOOKUP(C25,'Part IV-Utility Allowances'!$I$11:$M$22,12))</f>
        <v>300</v>
      </c>
      <c r="K25" s="644"/>
      <c r="L25" s="461">
        <f t="shared" si="1"/>
        <v>1204</v>
      </c>
      <c r="M25" s="461">
        <f t="shared" si="2"/>
        <v>8428</v>
      </c>
      <c r="N25" s="695" t="s">
        <v>2652</v>
      </c>
      <c r="O25" s="1683" t="s">
        <v>7050</v>
      </c>
      <c r="P25" s="695" t="s">
        <v>2120</v>
      </c>
      <c r="Q25" s="134" t="s">
        <v>2652</v>
      </c>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7</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7700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7</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7</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f t="shared" si="286"/>
        <v>7</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7</v>
      </c>
      <c r="MO25" s="1748">
        <f t="shared" si="337"/>
        <v>0</v>
      </c>
      <c r="MP25" s="1748">
        <f t="shared" si="328"/>
        <v>0</v>
      </c>
      <c r="MQ25" s="1748">
        <f t="shared" si="329"/>
        <v>0</v>
      </c>
      <c r="MR25" s="1748">
        <f t="shared" si="330"/>
        <v>0</v>
      </c>
      <c r="MS25" s="1748">
        <f t="shared" si="331"/>
        <v>0</v>
      </c>
      <c r="MT25" s="1748">
        <f t="shared" si="332"/>
        <v>0</v>
      </c>
      <c r="NP25" s="1719" t="s">
        <v>6419</v>
      </c>
    </row>
    <row r="26" spans="1:380" ht="14" customHeight="1">
      <c r="A26" s="86" t="str">
        <f t="shared" si="0"/>
        <v/>
      </c>
      <c r="B26" s="1119">
        <v>30</v>
      </c>
      <c r="C26" s="132">
        <v>3</v>
      </c>
      <c r="D26" s="1751">
        <v>2</v>
      </c>
      <c r="E26" s="133">
        <v>1</v>
      </c>
      <c r="F26" s="133">
        <v>1100</v>
      </c>
      <c r="G26" s="133">
        <v>752</v>
      </c>
      <c r="H26" s="133">
        <v>752</v>
      </c>
      <c r="I26" s="133">
        <v>0</v>
      </c>
      <c r="J26" s="756">
        <f>IF(C26="",0,HLOOKUP(C26,'Part IV-Utility Allowances'!$I$11:$M$22,12))</f>
        <v>300</v>
      </c>
      <c r="K26" s="644"/>
      <c r="L26" s="461">
        <f t="shared" si="1"/>
        <v>452</v>
      </c>
      <c r="M26" s="461">
        <f t="shared" si="2"/>
        <v>452</v>
      </c>
      <c r="N26" s="695" t="s">
        <v>2652</v>
      </c>
      <c r="O26" s="1683" t="s">
        <v>7050</v>
      </c>
      <c r="P26" s="695" t="s">
        <v>2120</v>
      </c>
      <c r="Q26" s="134" t="s">
        <v>2652</v>
      </c>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f t="shared" si="31"/>
        <v>1</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f t="shared" si="146"/>
        <v>1100</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1</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f t="shared" si="286"/>
        <v>1</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1</v>
      </c>
      <c r="MO26" s="1748">
        <f t="shared" si="337"/>
        <v>0</v>
      </c>
      <c r="MP26" s="1748">
        <f t="shared" si="328"/>
        <v>0</v>
      </c>
      <c r="MQ26" s="1748">
        <f t="shared" si="329"/>
        <v>0</v>
      </c>
      <c r="MR26" s="1748">
        <f t="shared" si="330"/>
        <v>0</v>
      </c>
      <c r="MS26" s="1748">
        <f t="shared" si="331"/>
        <v>0</v>
      </c>
      <c r="MT26" s="1748">
        <f t="shared" si="332"/>
        <v>0</v>
      </c>
      <c r="NP26" s="1719" t="s">
        <v>6420</v>
      </c>
    </row>
    <row r="27" spans="1:380" ht="14"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4"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4"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4"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4"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4"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4"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4"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4"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4"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4"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4"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4"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4"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4"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4"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4"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4"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4"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4"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4"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4"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3"/>
      <c r="U48" s="3574"/>
      <c r="V48" s="3574"/>
      <c r="W48" s="357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4" customHeight="1">
      <c r="A49" s="1432">
        <f>COUNT(A11,A12,A13,A14,A15,A16,A17,A18,A19,A20,A21,A22,A23,A24,A25,A26,A27,A28,A29,A30,A31,A32,A33,A34,A35,A36,A37,A38,A39,A40)</f>
        <v>3</v>
      </c>
      <c r="B49" s="3607" t="s">
        <v>3768</v>
      </c>
      <c r="C49" s="3608"/>
      <c r="D49" s="107" t="s">
        <v>954</v>
      </c>
      <c r="E49" s="1113">
        <f>SUM(E11:E48)</f>
        <v>47</v>
      </c>
      <c r="F49" s="1111">
        <f>(E11*F11+E12*F12+E13*F13+E14*F14+E15*F15+E16*F16+E17*F17+E18*F18+E19*F19+E20*F20+E21*F21+E22*F22+E23*F23+E24*F24+E25*F25+E26*F26+E27*F27+E28*F28+E29*F29+E30*F30+E31*F31+E32*F32+E33*F33+E34*F34+E35*F35+E36*F36+E37*F37+E38*F38+E39*F39+E40*F40+E41*F41+E42*F42+E43*F43+E44*F44+E45*F45+E46*F46+E47*F47+E48*F48)</f>
        <v>40550</v>
      </c>
      <c r="H49" s="3581" t="s">
        <v>3765</v>
      </c>
      <c r="I49" s="1114" t="s">
        <v>3766</v>
      </c>
      <c r="J49" s="1115" t="str">
        <f>IF(P67=0,"",IF(SUM(P58:P62)/P67&gt;=0.4,"Pass","Fail"))</f>
        <v>Pass</v>
      </c>
      <c r="K49" s="448"/>
      <c r="L49" s="699" t="s">
        <v>1225</v>
      </c>
      <c r="M49" s="94">
        <f>SUM(M11:M48)</f>
        <v>50752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10</v>
      </c>
      <c r="AJ49" s="1749">
        <f t="shared" si="339"/>
        <v>17</v>
      </c>
      <c r="AK49" s="1749">
        <f t="shared" si="339"/>
        <v>7</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v>
      </c>
      <c r="AY49" s="1749">
        <f t="shared" si="338"/>
        <v>1</v>
      </c>
      <c r="AZ49" s="1749">
        <f t="shared" si="338"/>
        <v>1</v>
      </c>
      <c r="BA49" s="1749">
        <f t="shared" si="338"/>
        <v>0</v>
      </c>
      <c r="BB49" s="1749">
        <f>SUM(BB11:BB48)</f>
        <v>0</v>
      </c>
      <c r="BC49" s="1749">
        <f>SUM(BC11:BC48)</f>
        <v>0</v>
      </c>
      <c r="BD49" s="1749">
        <f>SUM(BD11:BD48)</f>
        <v>0</v>
      </c>
      <c r="BE49" s="1749">
        <f>SUM(BE11:BE48)</f>
        <v>0</v>
      </c>
      <c r="BF49" s="1749">
        <f>SUM(BF11:BF48)</f>
        <v>0</v>
      </c>
      <c r="BG49" s="1749">
        <f t="shared" si="338"/>
        <v>0</v>
      </c>
      <c r="BH49" s="1749">
        <f t="shared" si="338"/>
        <v>1</v>
      </c>
      <c r="BI49" s="1749">
        <f t="shared" si="338"/>
        <v>5</v>
      </c>
      <c r="BJ49" s="1749">
        <f t="shared" si="338"/>
        <v>4</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6500</v>
      </c>
      <c r="EU49" s="1749">
        <f t="shared" si="342"/>
        <v>14450</v>
      </c>
      <c r="EV49" s="1749">
        <f t="shared" si="342"/>
        <v>7700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650</v>
      </c>
      <c r="FJ49" s="1749">
        <f t="shared" si="343"/>
        <v>850</v>
      </c>
      <c r="FK49" s="1749">
        <f t="shared" si="343"/>
        <v>1100</v>
      </c>
      <c r="FL49" s="1749">
        <f t="shared" si="343"/>
        <v>0</v>
      </c>
      <c r="FM49" s="1749">
        <f>SUM(FM11:FM48)</f>
        <v>0</v>
      </c>
      <c r="FN49" s="1749">
        <f>SUM(FN11:FN48)</f>
        <v>0</v>
      </c>
      <c r="FO49" s="1749">
        <f>SUM(FO11:FO48)</f>
        <v>0</v>
      </c>
      <c r="FP49" s="1749">
        <f>SUM(FP11:FP48)</f>
        <v>0</v>
      </c>
      <c r="FQ49" s="1749">
        <f>SUM(FQ11:FQ48)</f>
        <v>0</v>
      </c>
      <c r="FR49" s="1749">
        <f t="shared" si="343"/>
        <v>0</v>
      </c>
      <c r="FS49" s="1749">
        <f t="shared" si="343"/>
        <v>650</v>
      </c>
      <c r="FT49" s="1749">
        <f t="shared" si="343"/>
        <v>4250</v>
      </c>
      <c r="FU49" s="1749">
        <f t="shared" si="343"/>
        <v>4400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11</v>
      </c>
      <c r="GI49" s="1749">
        <f t="shared" si="343"/>
        <v>18</v>
      </c>
      <c r="GJ49" s="1749">
        <f t="shared" si="343"/>
        <v>8</v>
      </c>
      <c r="GK49" s="1749">
        <f t="shared" si="343"/>
        <v>0</v>
      </c>
      <c r="GL49" s="1749">
        <f t="shared" si="343"/>
        <v>0</v>
      </c>
      <c r="GM49" s="1749">
        <f t="shared" si="343"/>
        <v>1</v>
      </c>
      <c r="GN49" s="1749">
        <f t="shared" si="343"/>
        <v>5</v>
      </c>
      <c r="GO49" s="1749">
        <f t="shared" si="343"/>
        <v>4</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v>
      </c>
      <c r="IB49" s="1749">
        <f t="shared" si="344"/>
        <v>23</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12</v>
      </c>
      <c r="KT49" s="1749">
        <f>SUM(KT11:KT48)</f>
        <v>23</v>
      </c>
      <c r="KU49" s="1749">
        <f>SUM(KU11:KU48)</f>
        <v>12</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12</v>
      </c>
      <c r="MM49" s="1749">
        <f t="shared" si="346"/>
        <v>23</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4" customHeight="1">
      <c r="B50" s="3579">
        <f>IF(SUM(E18:E48)=0,"",(B18*E18+B19*E19+B20*E20+B21*E21+B22*E22+B23*E23+B24*E24+B25*E25+B26*E26+B27*E27+B28*E28+B29*E29+B30*E30+B31*E31+B32*E32+B33*E33+B34*E34+B35*E35+B36*E36+B37*E37+B38*E38+B39*E39+B40*E40+B41*E41+B42*E42+B43*E43+B44*E44+B45*E45+B46*E46+B47*E47+B48*E48)/SUM(E18:E48))</f>
        <v>57.567567567567565</v>
      </c>
      <c r="C50" s="3580"/>
      <c r="D50" s="119" t="s">
        <v>3675</v>
      </c>
      <c r="E50" s="1110">
        <f>SUM(E18:E48)</f>
        <v>37</v>
      </c>
      <c r="F50" s="1112">
        <f>(E18*F18+E19*F19+E20*F20+E21*F21+E22*F22+E23*F23+E24*F24+E25*F25+E26*F26+E27*F27+E28*F28+E29*F29+E30*F30+E31*F31+E32*F32+E33*F33+E34*F34+E35*F35+E36*F36+E37*F37+E38*F38+E39*F39+E40*F40+E41*F41+E42*F42+E43*F43+E44*F44+E45*F45+E46*F46+E47*F47+E48*F48)</f>
        <v>31250</v>
      </c>
      <c r="H50" s="3582"/>
      <c r="I50" s="1116" t="s">
        <v>3767</v>
      </c>
      <c r="J50" s="1117" t="str">
        <f>IF(P67=0,"",IF(SUM(P59:P62)/P67&gt;=0.2,"Pass","Fail"))</f>
        <v>Fail</v>
      </c>
      <c r="K50" s="448"/>
      <c r="L50" s="107" t="s">
        <v>757</v>
      </c>
      <c r="M50" s="94">
        <f>M49*12</f>
        <v>609024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8" t="s">
        <v>2408</v>
      </c>
      <c r="B51" s="3577"/>
      <c r="C51" s="3577"/>
      <c r="D51" s="3577"/>
      <c r="E51" s="3577"/>
      <c r="F51" s="3577"/>
      <c r="G51" s="3577"/>
      <c r="H51" s="3577"/>
      <c r="I51" s="3577"/>
      <c r="J51" s="3577"/>
      <c r="K51" s="3577"/>
      <c r="L51" s="3577"/>
      <c r="M51" s="3577"/>
      <c r="N51" s="3577"/>
      <c r="O51" s="3577"/>
      <c r="P51" s="3577"/>
      <c r="Q51" s="35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7"/>
      <c r="B52" s="3577"/>
      <c r="C52" s="3577"/>
      <c r="D52" s="3577"/>
      <c r="E52" s="3577"/>
      <c r="F52" s="3577"/>
      <c r="G52" s="3577"/>
      <c r="H52" s="3577"/>
      <c r="I52" s="3577"/>
      <c r="J52" s="3577"/>
      <c r="K52" s="3577"/>
      <c r="L52" s="3577"/>
      <c r="M52" s="3577"/>
      <c r="N52" s="3577"/>
      <c r="O52" s="3577"/>
      <c r="P52" s="3577"/>
      <c r="Q52" s="35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5" customHeight="1">
      <c r="A53" s="10" t="s">
        <v>689</v>
      </c>
      <c r="B53" s="10" t="s">
        <v>499</v>
      </c>
      <c r="K53" s="1891" t="s">
        <v>6641</v>
      </c>
      <c r="O53" s="3568" t="s">
        <v>7051</v>
      </c>
      <c r="P53" s="3569"/>
      <c r="S53" s="3596" t="str">
        <f>B53</f>
        <v>UNIT SUMMARY</v>
      </c>
      <c r="T53" s="3596"/>
      <c r="U53" s="3596"/>
      <c r="V53" s="3596"/>
      <c r="AY53" s="359"/>
      <c r="BD53" s="359"/>
      <c r="LO53" s="361"/>
      <c r="MD53" s="357"/>
    </row>
    <row r="54" spans="1:381" ht="14.25" customHeight="1">
      <c r="A54" s="10"/>
      <c r="B54" s="10"/>
      <c r="K54" s="144" t="s">
        <v>6643</v>
      </c>
      <c r="O54" s="3566" t="s">
        <v>7052</v>
      </c>
      <c r="P54" s="3567"/>
      <c r="S54" s="95"/>
      <c r="T54" s="95"/>
      <c r="U54" s="368"/>
      <c r="AY54" s="359"/>
      <c r="BD54" s="359"/>
      <c r="LO54" s="361"/>
      <c r="MD54" s="357"/>
    </row>
    <row r="55" spans="1:381" ht="14.7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0" t="s">
        <v>4075</v>
      </c>
      <c r="B56" s="366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6" t="s">
        <v>3184</v>
      </c>
      <c r="R56" s="889"/>
      <c r="S56" s="3563"/>
      <c r="T56" s="3564"/>
      <c r="U56" s="3564"/>
      <c r="V56" s="3564"/>
      <c r="W56" s="356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0"/>
      <c r="B57" s="3660"/>
      <c r="C57" s="72"/>
      <c r="D57" s="1"/>
      <c r="E57" s="1"/>
      <c r="F57" s="1"/>
      <c r="G57" s="62"/>
      <c r="H57" s="81" t="s">
        <v>3677</v>
      </c>
      <c r="I57" s="29"/>
      <c r="J57" s="62"/>
      <c r="K57" s="1127">
        <f>AC49</f>
        <v>0</v>
      </c>
      <c r="L57" s="1128">
        <f>AD49</f>
        <v>0</v>
      </c>
      <c r="M57" s="1128">
        <f>AE49</f>
        <v>0</v>
      </c>
      <c r="N57" s="1128">
        <f>AF49</f>
        <v>0</v>
      </c>
      <c r="O57" s="1129">
        <f>AG49</f>
        <v>0</v>
      </c>
      <c r="P57" s="745">
        <f t="shared" si="347"/>
        <v>0</v>
      </c>
      <c r="Q57" s="3576"/>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0"/>
      <c r="B58" s="3660"/>
      <c r="C58" s="72"/>
      <c r="D58" s="1"/>
      <c r="E58" s="1"/>
      <c r="F58" s="1"/>
      <c r="G58" s="62"/>
      <c r="H58" s="81" t="s">
        <v>1081</v>
      </c>
      <c r="I58" s="29"/>
      <c r="J58" s="62"/>
      <c r="K58" s="1127">
        <f>AH49</f>
        <v>0</v>
      </c>
      <c r="L58" s="1128">
        <f>AI49</f>
        <v>10</v>
      </c>
      <c r="M58" s="1128">
        <f>AJ49</f>
        <v>17</v>
      </c>
      <c r="N58" s="1128">
        <f>AK49</f>
        <v>7</v>
      </c>
      <c r="O58" s="1129">
        <f>AL49</f>
        <v>0</v>
      </c>
      <c r="P58" s="745">
        <f t="shared" si="347"/>
        <v>34</v>
      </c>
      <c r="Q58" s="3576"/>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0"/>
      <c r="B59" s="3660"/>
      <c r="C59" s="72"/>
      <c r="D59" s="1"/>
      <c r="E59" s="1"/>
      <c r="F59" s="1"/>
      <c r="G59" s="62"/>
      <c r="H59" s="81" t="s">
        <v>112</v>
      </c>
      <c r="I59" s="29"/>
      <c r="J59" s="912"/>
      <c r="K59" s="1148">
        <f>AM49</f>
        <v>0</v>
      </c>
      <c r="L59" s="1149">
        <f>AN49</f>
        <v>0</v>
      </c>
      <c r="M59" s="1149">
        <f>AO49</f>
        <v>0</v>
      </c>
      <c r="N59" s="1149">
        <f>AP49</f>
        <v>0</v>
      </c>
      <c r="O59" s="1150">
        <f>AQ49</f>
        <v>0</v>
      </c>
      <c r="P59" s="466">
        <f t="shared" si="347"/>
        <v>0</v>
      </c>
      <c r="Q59" s="3576"/>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0"/>
      <c r="B60" s="3660"/>
      <c r="C60" s="72"/>
      <c r="D60" s="1"/>
      <c r="E60" s="1"/>
      <c r="F60" s="1"/>
      <c r="G60" s="62"/>
      <c r="H60" s="81" t="s">
        <v>3678</v>
      </c>
      <c r="I60" s="29"/>
      <c r="J60" s="912"/>
      <c r="K60" s="1127">
        <f>AR49</f>
        <v>0</v>
      </c>
      <c r="L60" s="1128">
        <f>AS49</f>
        <v>0</v>
      </c>
      <c r="M60" s="1128">
        <f>AT49</f>
        <v>0</v>
      </c>
      <c r="N60" s="1128">
        <f>AU49</f>
        <v>0</v>
      </c>
      <c r="O60" s="1129">
        <f>AV49</f>
        <v>0</v>
      </c>
      <c r="P60" s="745">
        <f t="shared" si="347"/>
        <v>0</v>
      </c>
      <c r="Q60" s="3576"/>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0"/>
      <c r="B61" s="3660"/>
      <c r="C61" s="72"/>
      <c r="D61" s="1"/>
      <c r="E61" s="1"/>
      <c r="F61" s="1"/>
      <c r="G61" s="62"/>
      <c r="H61" s="81" t="s">
        <v>3679</v>
      </c>
      <c r="I61" s="29"/>
      <c r="J61" s="62"/>
      <c r="K61" s="1127">
        <f>AW49</f>
        <v>0</v>
      </c>
      <c r="L61" s="1128">
        <f>AX49</f>
        <v>1</v>
      </c>
      <c r="M61" s="1128">
        <f>AY49</f>
        <v>1</v>
      </c>
      <c r="N61" s="1128">
        <f>AZ49</f>
        <v>1</v>
      </c>
      <c r="O61" s="1129">
        <f>BA49</f>
        <v>0</v>
      </c>
      <c r="P61" s="745">
        <f t="shared" si="347"/>
        <v>3</v>
      </c>
      <c r="Q61" s="3576"/>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0"/>
      <c r="B62" s="3660"/>
      <c r="C62" s="4"/>
      <c r="D62" s="1"/>
      <c r="E62" s="1"/>
      <c r="F62" s="1"/>
      <c r="G62" s="62"/>
      <c r="H62" s="81" t="s">
        <v>3680</v>
      </c>
      <c r="I62" s="29"/>
      <c r="J62" s="62"/>
      <c r="K62" s="1130">
        <f>BB49</f>
        <v>0</v>
      </c>
      <c r="L62" s="1131">
        <f>BC49</f>
        <v>0</v>
      </c>
      <c r="M62" s="1131">
        <f>BD49</f>
        <v>0</v>
      </c>
      <c r="N62" s="1131">
        <f>BE49</f>
        <v>0</v>
      </c>
      <c r="O62" s="1132">
        <f>BF49</f>
        <v>0</v>
      </c>
      <c r="P62" s="466">
        <f t="shared" si="347"/>
        <v>0</v>
      </c>
      <c r="Q62" s="3576"/>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0"/>
      <c r="B63" s="3660"/>
      <c r="C63" s="81" t="s">
        <v>3762</v>
      </c>
      <c r="D63" s="1"/>
      <c r="E63" s="1"/>
      <c r="F63" s="1"/>
      <c r="G63" s="62"/>
      <c r="H63" s="68"/>
      <c r="I63" s="44"/>
      <c r="J63" s="62"/>
      <c r="K63" s="1092">
        <f>SUM(K56:K62)</f>
        <v>0</v>
      </c>
      <c r="L63" s="1092">
        <f>SUM(L56:L62)</f>
        <v>11</v>
      </c>
      <c r="M63" s="1092">
        <f>SUM(M56:M62)</f>
        <v>18</v>
      </c>
      <c r="N63" s="1092">
        <f>SUM(N56:N62)</f>
        <v>8</v>
      </c>
      <c r="O63" s="1092">
        <f>SUM(O56:O62)</f>
        <v>0</v>
      </c>
      <c r="P63" s="1092">
        <f t="shared" si="347"/>
        <v>37</v>
      </c>
      <c r="Q63" s="3577"/>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0"/>
      <c r="B64" s="3660"/>
      <c r="D64" s="1"/>
      <c r="E64" s="1"/>
      <c r="F64" s="1"/>
      <c r="G64" s="62"/>
      <c r="H64" s="81" t="s">
        <v>290</v>
      </c>
      <c r="I64" s="29"/>
      <c r="J64" s="62"/>
      <c r="K64" s="746">
        <f>BG49</f>
        <v>0</v>
      </c>
      <c r="L64" s="746">
        <f>BH49</f>
        <v>1</v>
      </c>
      <c r="M64" s="746">
        <f>BI49</f>
        <v>5</v>
      </c>
      <c r="N64" s="746">
        <f>BJ49</f>
        <v>4</v>
      </c>
      <c r="O64" s="746">
        <f>BK49</f>
        <v>0</v>
      </c>
      <c r="P64" s="746">
        <f t="shared" si="347"/>
        <v>10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0"/>
      <c r="B65" s="3660"/>
      <c r="C65" s="1097" t="s">
        <v>1070</v>
      </c>
      <c r="D65" s="1097"/>
      <c r="E65" s="1097"/>
      <c r="F65" s="1097"/>
      <c r="G65" s="1098"/>
      <c r="H65" s="1439"/>
      <c r="I65" s="42"/>
      <c r="J65" s="1098"/>
      <c r="K65" s="1099">
        <f>SUM(K63:K64)</f>
        <v>0</v>
      </c>
      <c r="L65" s="1099">
        <f>SUM(L63:L64)</f>
        <v>12</v>
      </c>
      <c r="M65" s="1099">
        <f>SUM(M63:M64)</f>
        <v>23</v>
      </c>
      <c r="N65" s="1099">
        <f>SUM(N63:N64)</f>
        <v>12</v>
      </c>
      <c r="O65" s="1099">
        <f>SUM(O63:O64)</f>
        <v>0</v>
      </c>
      <c r="P65" s="1099">
        <f t="shared" si="347"/>
        <v>47</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0"/>
      <c r="B66" s="366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0"/>
      <c r="B67" s="3660"/>
      <c r="C67" s="4" t="s">
        <v>1667</v>
      </c>
      <c r="D67" s="1"/>
      <c r="E67" s="1"/>
      <c r="F67" s="1"/>
      <c r="G67" s="62"/>
      <c r="H67" s="81"/>
      <c r="I67" s="29"/>
      <c r="J67" s="62"/>
      <c r="K67" s="1091">
        <f>SUM(K65:K66)</f>
        <v>0</v>
      </c>
      <c r="L67" s="1091">
        <f>SUM(L65:L66)</f>
        <v>12</v>
      </c>
      <c r="M67" s="1091">
        <f>SUM(M65:M66)</f>
        <v>23</v>
      </c>
      <c r="N67" s="1091">
        <f>SUM(N65:N66)</f>
        <v>12</v>
      </c>
      <c r="O67" s="1091">
        <f>SUM(O65:O66)</f>
        <v>0</v>
      </c>
      <c r="P67" s="1091">
        <f t="shared" si="347"/>
        <v>47</v>
      </c>
      <c r="S67" s="3573"/>
      <c r="T67" s="3574"/>
      <c r="U67" s="3574"/>
      <c r="V67" s="3574"/>
      <c r="W67" s="357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660"/>
      <c r="B68" s="366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0"/>
      <c r="B69" s="3660"/>
      <c r="C69" s="3606" t="s">
        <v>3771</v>
      </c>
      <c r="D69" s="3606"/>
      <c r="E69" s="3606"/>
      <c r="F69" s="360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660"/>
      <c r="B70" s="3660"/>
      <c r="C70" s="3606"/>
      <c r="D70" s="3606"/>
      <c r="E70" s="3606"/>
      <c r="F70" s="360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3"/>
      <c r="T70" s="3564"/>
      <c r="U70" s="3564"/>
      <c r="V70" s="3564"/>
      <c r="W70" s="356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0"/>
      <c r="B71" s="366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0"/>
      <c r="B72" s="366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0"/>
      <c r="B73" s="3660"/>
      <c r="C73" s="667"/>
      <c r="D73" s="3556" t="s">
        <v>4068</v>
      </c>
      <c r="E73" s="3556"/>
      <c r="F73" s="3556"/>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6"/>
      <c r="E74" s="3556"/>
      <c r="F74" s="3556"/>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6"/>
      <c r="E75" s="3556"/>
      <c r="F75" s="3556"/>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4067</v>
      </c>
      <c r="D76" s="3556"/>
      <c r="E76" s="3556"/>
      <c r="F76" s="3556"/>
      <c r="G76" s="6"/>
      <c r="H76" s="81" t="s">
        <v>1081</v>
      </c>
      <c r="I76" s="29"/>
      <c r="J76" s="1"/>
      <c r="K76" s="1436" t="str">
        <f t="shared" ref="K76:P76" si="352">IF(OR(K58=0,K67=0),"",K58/K67)</f>
        <v/>
      </c>
      <c r="L76" s="1437">
        <f t="shared" si="352"/>
        <v>0.83333333333333337</v>
      </c>
      <c r="M76" s="1437">
        <f t="shared" si="352"/>
        <v>0.73913043478260865</v>
      </c>
      <c r="N76" s="1437">
        <f t="shared" si="352"/>
        <v>0.58333333333333337</v>
      </c>
      <c r="O76" s="1437" t="str">
        <f t="shared" si="352"/>
        <v/>
      </c>
      <c r="P76" s="1438">
        <f t="shared" si="352"/>
        <v>0.72340425531914898</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6"/>
      <c r="E77" s="3556"/>
      <c r="F77" s="3556"/>
      <c r="G77" s="6"/>
      <c r="H77" s="81" t="s">
        <v>6486</v>
      </c>
      <c r="I77" s="29"/>
      <c r="J77" s="1"/>
      <c r="K77" s="1509" t="str">
        <f>IF(OR(K58=0,P76="",K67=0),"",P76*K67)</f>
        <v/>
      </c>
      <c r="L77" s="1509">
        <f>IF(OR(L58=0,P76="",L67=0),"",P76*L67)</f>
        <v>8.6808510638297882</v>
      </c>
      <c r="M77" s="1509">
        <f>IF(OR(M58=0,P76="",M67=0),"",P76*M67)</f>
        <v>16.638297872340427</v>
      </c>
      <c r="N77" s="1509">
        <f>IF(OR(N58=0,P76="",N67=0),"",P76*N67)</f>
        <v>8.6808510638297882</v>
      </c>
      <c r="O77" s="1509" t="str">
        <f>IF(OR(O58=0,P76="",O67=0),"",P76*O67)</f>
        <v/>
      </c>
      <c r="P77" s="1510">
        <f>IF(OR(P76="",P67=0),"",P76*P67)</f>
        <v>34</v>
      </c>
      <c r="S77" s="3573"/>
      <c r="T77" s="3574"/>
      <c r="U77" s="3574"/>
      <c r="V77" s="3574"/>
      <c r="W77" s="357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6"/>
      <c r="E78" s="3556"/>
      <c r="F78" s="3556"/>
      <c r="G78" s="1504"/>
      <c r="H78" s="1441" t="s">
        <v>6487</v>
      </c>
      <c r="I78" s="1409"/>
      <c r="J78" s="1"/>
      <c r="K78" s="1511" t="str">
        <f t="shared" ref="K78:P78" si="353">IF(OR(K77="",K58=0),"", K58-K77)</f>
        <v/>
      </c>
      <c r="L78" s="1511">
        <f t="shared" si="353"/>
        <v>1.3191489361702118</v>
      </c>
      <c r="M78" s="1511">
        <f t="shared" si="353"/>
        <v>0.36170212765957288</v>
      </c>
      <c r="N78" s="1511">
        <f t="shared" si="353"/>
        <v>-1.6808510638297882</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4067</v>
      </c>
      <c r="D85" s="6"/>
      <c r="E85" s="6"/>
      <c r="F85" s="6"/>
      <c r="G85" s="6"/>
      <c r="H85" s="81" t="s">
        <v>3679</v>
      </c>
      <c r="I85" s="29"/>
      <c r="J85" s="1"/>
      <c r="K85" s="1436" t="str">
        <f t="shared" ref="K85:P85" si="358">IF(OR(K61=0,K67=0),"",K61/K67)</f>
        <v/>
      </c>
      <c r="L85" s="1437">
        <f t="shared" si="358"/>
        <v>8.3333333333333329E-2</v>
      </c>
      <c r="M85" s="1437">
        <f t="shared" si="358"/>
        <v>4.3478260869565216E-2</v>
      </c>
      <c r="N85" s="1437">
        <f t="shared" si="358"/>
        <v>8.3333333333333329E-2</v>
      </c>
      <c r="O85" s="1437" t="str">
        <f t="shared" si="358"/>
        <v/>
      </c>
      <c r="P85" s="1438">
        <f t="shared" si="358"/>
        <v>6.3829787234042548E-2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f>IF(OR(L61=0,P85="",L67=0),"",P85*L67)</f>
        <v>0.76595744680851063</v>
      </c>
      <c r="M86" s="1509">
        <f>IF(OR(M61=0,P85="",M67=0),"",P85*M67)</f>
        <v>1.4680851063829785</v>
      </c>
      <c r="N86" s="1509">
        <f>IF(OR(N61=0,P85="",N67=0),"",P85*N67)</f>
        <v>0.76595744680851063</v>
      </c>
      <c r="O86" s="1509" t="str">
        <f>IF(OR(O61=0,P85="",O67=0),"",P85*O67)</f>
        <v/>
      </c>
      <c r="P86" s="1510">
        <f>IF(OR(P85="",P67=0),"",P85*P67)</f>
        <v>2.9999999999999996</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f t="shared" si="359"/>
        <v>0.23404255319148937</v>
      </c>
      <c r="M87" s="1511">
        <f t="shared" si="359"/>
        <v>-0.46808510638297851</v>
      </c>
      <c r="N87" s="1511">
        <f t="shared" si="359"/>
        <v>0.23404255319148937</v>
      </c>
      <c r="O87" s="1511" t="str">
        <f t="shared" si="359"/>
        <v/>
      </c>
      <c r="P87" s="1511">
        <f t="shared" si="359"/>
        <v>4.4408920985006262E-16</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3"/>
      <c r="T93" s="3564"/>
      <c r="U93" s="3564"/>
      <c r="V93" s="3564"/>
      <c r="W93" s="356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3"/>
      <c r="T100" s="3574"/>
      <c r="U100" s="3574"/>
      <c r="V100" s="3574"/>
      <c r="W100" s="357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3874</v>
      </c>
      <c r="H102" s="68"/>
      <c r="L102" s="3597" t="str">
        <f>$O$53</f>
        <v>40% of Units at 60% of AMI</v>
      </c>
      <c r="M102" s="3598"/>
      <c r="N102" s="3598"/>
      <c r="O102" s="35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3"/>
      <c r="T104" s="3564"/>
      <c r="U104" s="3564"/>
      <c r="V104" s="3564"/>
      <c r="W104" s="356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3"/>
      <c r="T111" s="3574"/>
      <c r="U111" s="3574"/>
      <c r="V111" s="3574"/>
      <c r="W111" s="357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9" t="s">
        <v>35</v>
      </c>
      <c r="D113" s="3559"/>
      <c r="E113" s="81" t="s">
        <v>2120</v>
      </c>
      <c r="F113" s="1"/>
      <c r="G113" s="62"/>
      <c r="H113" s="81" t="s">
        <v>1343</v>
      </c>
      <c r="I113" s="29"/>
      <c r="J113" s="62"/>
      <c r="K113" s="1124">
        <f>GG49</f>
        <v>0</v>
      </c>
      <c r="L113" s="1125">
        <f>GH49</f>
        <v>11</v>
      </c>
      <c r="M113" s="1125">
        <f>GI49</f>
        <v>18</v>
      </c>
      <c r="N113" s="1125">
        <f>GJ49</f>
        <v>8</v>
      </c>
      <c r="O113" s="1126">
        <f>GK49</f>
        <v>0</v>
      </c>
      <c r="P113" s="749">
        <f t="shared" ref="P113:P123" si="364">SUM(K113:O113)</f>
        <v>37</v>
      </c>
      <c r="S113" s="3563"/>
      <c r="T113" s="3564"/>
      <c r="U113" s="3564"/>
      <c r="V113" s="3564"/>
      <c r="W113" s="356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9"/>
      <c r="D114" s="3559"/>
      <c r="E114" s="81"/>
      <c r="F114" s="1"/>
      <c r="G114" s="62"/>
      <c r="H114" s="81" t="s">
        <v>290</v>
      </c>
      <c r="I114" s="29"/>
      <c r="J114" s="62"/>
      <c r="K114" s="1130">
        <f>GL49</f>
        <v>0</v>
      </c>
      <c r="L114" s="1131">
        <f>GM49</f>
        <v>1</v>
      </c>
      <c r="M114" s="1131">
        <f>GN49</f>
        <v>5</v>
      </c>
      <c r="N114" s="1131">
        <f>GO49</f>
        <v>4</v>
      </c>
      <c r="O114" s="1132">
        <f>GP49</f>
        <v>0</v>
      </c>
      <c r="P114" s="746">
        <f t="shared" si="364"/>
        <v>10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9"/>
      <c r="D115" s="3559"/>
      <c r="E115" s="81"/>
      <c r="F115" s="1"/>
      <c r="G115" s="62"/>
      <c r="H115" s="141" t="s">
        <v>29</v>
      </c>
      <c r="I115" s="66"/>
      <c r="J115" s="62"/>
      <c r="K115" s="1093">
        <f>SUM(K113:K114)+GQ49</f>
        <v>0</v>
      </c>
      <c r="L115" s="1093">
        <f>SUM(L113:L114)+GR49</f>
        <v>12</v>
      </c>
      <c r="M115" s="1093">
        <f>SUM(M113:M114)+GS49</f>
        <v>23</v>
      </c>
      <c r="N115" s="1093">
        <f>SUM(N113:N114)+GT49</f>
        <v>12</v>
      </c>
      <c r="O115" s="1093">
        <f>SUM(O113:O114)+GU49</f>
        <v>0</v>
      </c>
      <c r="P115" s="1093">
        <f t="shared" si="364"/>
        <v>47</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9"/>
      <c r="D116" s="3559"/>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9"/>
      <c r="D117" s="3559"/>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9"/>
      <c r="D118" s="3559"/>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2" t="s">
        <v>1337</v>
      </c>
      <c r="F119" s="3602"/>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2"/>
      <c r="F120" s="3602"/>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7" t="str">
        <f>IF(AND('Part III-A-Uses of Funds'!$T$179="Yes",'Part VIII Scoring Criteria'!$O$312&gt;0,P123&lt;1),"SHOW HISTORIC UNITS HERE &gt;&gt;&gt;&gt;","")</f>
        <v/>
      </c>
      <c r="B123" s="3667"/>
      <c r="C123" s="3667"/>
      <c r="D123" s="3667"/>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3"/>
      <c r="T125" s="3574"/>
      <c r="U125" s="3574"/>
      <c r="V125" s="3574"/>
      <c r="W125" s="357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8" t="s">
        <v>6491</v>
      </c>
      <c r="D127" s="3558"/>
      <c r="E127" s="908" t="s">
        <v>36</v>
      </c>
      <c r="F127" s="767"/>
      <c r="G127" s="909"/>
      <c r="H127" s="1442"/>
      <c r="I127" s="910"/>
      <c r="J127" s="911"/>
      <c r="K127" s="1145">
        <f t="shared" ref="K127:P127" si="365">SUM(K128:K135)</f>
        <v>0</v>
      </c>
      <c r="L127" s="1146">
        <f t="shared" si="365"/>
        <v>12</v>
      </c>
      <c r="M127" s="1146">
        <f t="shared" si="365"/>
        <v>23</v>
      </c>
      <c r="N127" s="1146">
        <f t="shared" si="365"/>
        <v>12</v>
      </c>
      <c r="O127" s="1147">
        <f t="shared" si="365"/>
        <v>0</v>
      </c>
      <c r="P127" s="1096">
        <f t="shared" si="365"/>
        <v>47</v>
      </c>
      <c r="S127" s="3563"/>
      <c r="T127" s="3564"/>
      <c r="U127" s="3564"/>
      <c r="V127" s="3564"/>
      <c r="W127" s="356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9"/>
      <c r="D128" s="3559"/>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9"/>
      <c r="D129" s="3559"/>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9"/>
      <c r="D130" s="3559"/>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9"/>
      <c r="D131" s="3559"/>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9"/>
      <c r="D132" s="3559"/>
      <c r="E132" s="81"/>
      <c r="F132" s="1"/>
      <c r="G132" s="62"/>
      <c r="H132" s="1406" t="s">
        <v>6293</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9"/>
      <c r="D133" s="3559"/>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9"/>
      <c r="D134" s="3559"/>
      <c r="E134" s="81"/>
      <c r="F134" s="1"/>
      <c r="G134" s="62"/>
      <c r="H134" s="1406" t="s">
        <v>6485</v>
      </c>
      <c r="I134" s="33"/>
      <c r="J134" s="62"/>
      <c r="K134" s="1151">
        <f>KR49</f>
        <v>0</v>
      </c>
      <c r="L134" s="1152">
        <f>KS49</f>
        <v>12</v>
      </c>
      <c r="M134" s="1152">
        <f>KT49</f>
        <v>23</v>
      </c>
      <c r="N134" s="1152">
        <f>KU49</f>
        <v>12</v>
      </c>
      <c r="O134" s="1153">
        <f>KV49</f>
        <v>0</v>
      </c>
      <c r="P134" s="469">
        <f t="shared" si="367"/>
        <v>47</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9"/>
      <c r="D135" s="3559"/>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9"/>
      <c r="D136" s="3559"/>
      <c r="E136" s="81" t="s">
        <v>6480</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9"/>
      <c r="D137" s="3559"/>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9"/>
      <c r="D138" s="3559"/>
      <c r="E138" s="81" t="s">
        <v>6481</v>
      </c>
      <c r="F138" s="1"/>
      <c r="G138" s="62"/>
      <c r="H138" s="1406"/>
      <c r="I138" s="33"/>
      <c r="J138" s="62"/>
      <c r="K138" s="1151">
        <f>JI49</f>
        <v>0</v>
      </c>
      <c r="L138" s="1152">
        <f>JJ49</f>
        <v>0</v>
      </c>
      <c r="M138" s="1152">
        <f>JK49</f>
        <v>0</v>
      </c>
      <c r="N138" s="1152">
        <f>JL49</f>
        <v>0</v>
      </c>
      <c r="O138" s="1153">
        <f>JM49</f>
        <v>0</v>
      </c>
      <c r="P138" s="1688">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9"/>
      <c r="D139" s="3559"/>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9"/>
      <c r="D140" s="3559"/>
      <c r="E140" s="81" t="s">
        <v>6287</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9"/>
      <c r="D141" s="3559"/>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9"/>
      <c r="D142" s="3559"/>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3"/>
      <c r="T143" s="3574"/>
      <c r="U143" s="3574"/>
      <c r="V143" s="3574"/>
      <c r="W143" s="357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3874</v>
      </c>
      <c r="H145" s="68"/>
      <c r="L145" s="3597" t="str">
        <f>$O$53</f>
        <v>40% of Units at 60% of AMI</v>
      </c>
      <c r="M145" s="3598"/>
      <c r="N145" s="3598"/>
      <c r="O145" s="3599"/>
      <c r="P145" s="62"/>
      <c r="S145" s="3596" t="str">
        <f>B145</f>
        <v>UNIT SUMMARY (Continued)</v>
      </c>
      <c r="T145" s="3596"/>
      <c r="U145" s="3596"/>
      <c r="V145" s="359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8" t="s">
        <v>6492</v>
      </c>
      <c r="D147" s="355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3"/>
      <c r="T147" s="3564"/>
      <c r="U147" s="3564"/>
      <c r="V147" s="3564"/>
      <c r="W147" s="356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9"/>
      <c r="D148" s="3559"/>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9"/>
      <c r="D149" s="3559"/>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9"/>
      <c r="D150" s="3559"/>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9"/>
      <c r="D151" s="3559"/>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9"/>
      <c r="D152" s="3559"/>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9"/>
      <c r="D153" s="3559"/>
      <c r="E153" s="81" t="s">
        <v>2995</v>
      </c>
      <c r="F153" s="147"/>
      <c r="G153" s="62"/>
      <c r="H153" s="1406"/>
      <c r="I153" s="33"/>
      <c r="J153" s="912"/>
      <c r="K153" s="1160">
        <f t="shared" si="371"/>
        <v>0</v>
      </c>
      <c r="L153" s="1161">
        <f t="shared" si="371"/>
        <v>12</v>
      </c>
      <c r="M153" s="1161">
        <f t="shared" si="371"/>
        <v>23</v>
      </c>
      <c r="N153" s="1161">
        <f t="shared" si="371"/>
        <v>12</v>
      </c>
      <c r="O153" s="1162">
        <f t="shared" si="371"/>
        <v>0</v>
      </c>
      <c r="P153" s="1688">
        <f t="shared" si="369"/>
        <v>47</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2" t="s">
        <v>3890</v>
      </c>
      <c r="S154" s="3573"/>
      <c r="T154" s="3574"/>
      <c r="U154" s="3574"/>
      <c r="V154" s="3574"/>
      <c r="W154" s="357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2"/>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3"/>
      <c r="T157" s="3564"/>
      <c r="U157" s="3564"/>
      <c r="V157" s="3564"/>
      <c r="W157" s="356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6500</v>
      </c>
      <c r="M159" s="1164">
        <f>EU49</f>
        <v>14450</v>
      </c>
      <c r="N159" s="1164">
        <f>EV49</f>
        <v>7700</v>
      </c>
      <c r="O159" s="1165">
        <f>EW49</f>
        <v>0</v>
      </c>
      <c r="P159" s="1088">
        <f t="shared" si="372"/>
        <v>28650</v>
      </c>
      <c r="Q159" s="1291">
        <f t="shared" si="373"/>
        <v>842.64705882352939</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650</v>
      </c>
      <c r="M162" s="1164">
        <f>FJ49</f>
        <v>850</v>
      </c>
      <c r="N162" s="1164">
        <f>FK49</f>
        <v>1100</v>
      </c>
      <c r="O162" s="1165">
        <f>FL49</f>
        <v>0</v>
      </c>
      <c r="P162" s="1088">
        <f t="shared" si="372"/>
        <v>2600</v>
      </c>
      <c r="Q162" s="1291">
        <f t="shared" si="373"/>
        <v>866.66666666666663</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7150</v>
      </c>
      <c r="M164" s="1690">
        <f>SUM(M157:M163)</f>
        <v>15300</v>
      </c>
      <c r="N164" s="1690">
        <f>SUM(N157:N163)</f>
        <v>8800</v>
      </c>
      <c r="O164" s="1690">
        <f>SUM(O157:O163)</f>
        <v>0</v>
      </c>
      <c r="P164" s="1690">
        <f>SUM(K164:O164)</f>
        <v>31250</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650</v>
      </c>
      <c r="M165" s="1167">
        <f>FT49</f>
        <v>4250</v>
      </c>
      <c r="N165" s="1167">
        <f>FU49</f>
        <v>4400</v>
      </c>
      <c r="O165" s="1168">
        <f>FV49</f>
        <v>0</v>
      </c>
      <c r="P165" s="1095">
        <f>SUM(K165:O165)</f>
        <v>9300</v>
      </c>
      <c r="Q165" s="1234">
        <f>IF(OR(P64=0,P64=""),"",P165/P64)</f>
        <v>930</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7800</v>
      </c>
      <c r="M166" s="1689">
        <f>SUM(M164:M165)</f>
        <v>19550</v>
      </c>
      <c r="N166" s="1689">
        <f>SUM(N164:N165)</f>
        <v>13200</v>
      </c>
      <c r="O166" s="1689">
        <f>SUM(O164:O165)</f>
        <v>0</v>
      </c>
      <c r="P166" s="1689">
        <f>SUM(K166:O166)</f>
        <v>40550</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7800</v>
      </c>
      <c r="M168" s="1094">
        <f>SUM(M166:M167)</f>
        <v>19550</v>
      </c>
      <c r="N168" s="1094">
        <f>SUM(N166:N167)</f>
        <v>13200</v>
      </c>
      <c r="O168" s="1094">
        <f>SUM(O166:O167)</f>
        <v>0</v>
      </c>
      <c r="P168" s="1094">
        <f>SUM(K168:O168)</f>
        <v>40550</v>
      </c>
      <c r="S168" s="3573"/>
      <c r="T168" s="3574"/>
      <c r="U168" s="3574"/>
      <c r="V168" s="3574"/>
      <c r="W168" s="357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 customHeight="1"/>
    <row r="170" spans="1:493" s="69" customFormat="1" ht="14"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650</v>
      </c>
      <c r="M171" s="1290">
        <f>IF(OR(M67="",M67=0),"",M168/M67)</f>
        <v>850</v>
      </c>
      <c r="N171" s="1290">
        <f>IF(OR(N67="",N67=0),"",N168/N67)</f>
        <v>1100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5"/>
      <c r="L174" s="3656"/>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25" customHeight="1">
      <c r="A175" s="375"/>
      <c r="C175" s="253" t="s">
        <v>242</v>
      </c>
      <c r="K175" s="3653">
        <f>P168+K174</f>
        <v>40550</v>
      </c>
      <c r="L175" s="3654"/>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5" customHeight="1">
      <c r="A179" s="1"/>
      <c r="B179" s="141" t="s">
        <v>952</v>
      </c>
      <c r="C179" s="81"/>
      <c r="D179" s="81"/>
      <c r="E179" s="81"/>
      <c r="F179" s="81"/>
      <c r="G179" s="81"/>
      <c r="H179" s="3554">
        <f>'Part VI-Pro Forma'!B10*M50</f>
        <v>12180.48</v>
      </c>
      <c r="I179" s="355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 customHeight="1">
      <c r="B180" s="400"/>
      <c r="C180" s="68"/>
      <c r="D180" s="81"/>
      <c r="E180" s="68"/>
      <c r="F180" s="68"/>
      <c r="G180" s="68"/>
      <c r="H180" s="68"/>
      <c r="I180" s="68"/>
      <c r="J180" s="85"/>
      <c r="K180" s="68"/>
      <c r="L180" s="68"/>
      <c r="M180" s="68"/>
      <c r="N180" s="68"/>
      <c r="O180" s="68"/>
      <c r="P180" s="68"/>
      <c r="Q180" s="308"/>
      <c r="R180" s="308"/>
      <c r="NP180" s="1720"/>
    </row>
    <row r="181" spans="1:493" ht="15.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5" customHeight="1">
      <c r="B183" s="81" t="s">
        <v>953</v>
      </c>
      <c r="C183" s="81"/>
      <c r="D183" s="81"/>
      <c r="E183" s="81"/>
      <c r="F183" s="81"/>
      <c r="H183" s="704"/>
      <c r="I183" s="704"/>
      <c r="J183" s="704"/>
      <c r="K183" s="704"/>
      <c r="L183" s="704"/>
      <c r="M183" s="704"/>
      <c r="N183" s="704"/>
      <c r="O183" s="704"/>
      <c r="P183" s="704"/>
      <c r="Q183" s="704"/>
      <c r="R183" s="674"/>
      <c r="S183" s="3563"/>
      <c r="T183" s="3564"/>
      <c r="U183" s="3564"/>
      <c r="V183" s="3564"/>
      <c r="W183" s="3565"/>
    </row>
    <row r="184" spans="1:493" ht="15.5" customHeight="1">
      <c r="B184" s="81" t="s">
        <v>690</v>
      </c>
      <c r="C184" s="3603"/>
      <c r="D184" s="3604"/>
      <c r="E184" s="3604"/>
      <c r="F184" s="3605"/>
      <c r="H184" s="706"/>
      <c r="I184" s="706"/>
      <c r="J184" s="706"/>
      <c r="K184" s="706"/>
      <c r="L184" s="707"/>
      <c r="M184" s="706"/>
      <c r="N184" s="706"/>
      <c r="O184" s="706"/>
      <c r="P184" s="706"/>
      <c r="Q184" s="706"/>
      <c r="R184" s="674"/>
      <c r="S184" s="3560"/>
      <c r="T184" s="3561"/>
      <c r="U184" s="3561"/>
      <c r="V184" s="3561"/>
      <c r="W184" s="3562"/>
    </row>
    <row r="185" spans="1:493" ht="15.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3"/>
      <c r="T185" s="3574"/>
      <c r="U185" s="3574"/>
      <c r="V185" s="3574"/>
      <c r="W185" s="3575"/>
      <c r="NP185" s="1720"/>
    </row>
    <row r="186" spans="1:493" ht="15.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5" customHeight="1">
      <c r="B187" s="81" t="s">
        <v>498</v>
      </c>
      <c r="C187" s="81"/>
      <c r="D187" s="81"/>
      <c r="E187" s="81"/>
      <c r="F187" s="81"/>
      <c r="H187" s="704"/>
      <c r="I187" s="704"/>
      <c r="J187" s="704"/>
      <c r="K187" s="704"/>
      <c r="L187" s="704"/>
      <c r="M187" s="704"/>
      <c r="N187" s="704"/>
      <c r="O187" s="704"/>
      <c r="P187" s="704"/>
      <c r="Q187" s="704"/>
      <c r="R187" s="674"/>
      <c r="S187" s="3563"/>
      <c r="T187" s="3564"/>
      <c r="U187" s="3564"/>
      <c r="V187" s="3564"/>
      <c r="W187" s="3565"/>
    </row>
    <row r="188" spans="1:493" ht="15.5" customHeight="1">
      <c r="B188" s="81" t="s">
        <v>690</v>
      </c>
      <c r="C188" s="3603"/>
      <c r="D188" s="3604"/>
      <c r="E188" s="3604"/>
      <c r="F188" s="3605"/>
      <c r="H188" s="706"/>
      <c r="I188" s="706"/>
      <c r="J188" s="706"/>
      <c r="K188" s="706"/>
      <c r="L188" s="707"/>
      <c r="M188" s="706"/>
      <c r="N188" s="706"/>
      <c r="O188" s="706"/>
      <c r="P188" s="706"/>
      <c r="Q188" s="706"/>
      <c r="R188" s="674"/>
      <c r="S188" s="3560"/>
      <c r="T188" s="3561"/>
      <c r="U188" s="3561"/>
      <c r="V188" s="3561"/>
      <c r="W188" s="3562"/>
    </row>
    <row r="189" spans="1:493" ht="15.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3"/>
      <c r="T189" s="3574"/>
      <c r="U189" s="3574"/>
      <c r="V189" s="3574"/>
      <c r="W189" s="3575"/>
    </row>
    <row r="190" spans="1:493" ht="15.5" customHeight="1">
      <c r="B190" s="400"/>
      <c r="C190" s="68"/>
      <c r="D190" s="68"/>
      <c r="E190" s="68"/>
      <c r="F190" s="68"/>
      <c r="H190" s="710"/>
      <c r="I190" s="68"/>
      <c r="J190" s="68"/>
      <c r="K190" s="68"/>
      <c r="L190" s="68"/>
      <c r="M190" s="68"/>
      <c r="N190" s="68"/>
      <c r="O190" s="68"/>
      <c r="P190" s="68"/>
      <c r="Q190" s="68"/>
      <c r="R190" s="6"/>
    </row>
    <row r="191" spans="1:493" ht="15.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5" customHeight="1">
      <c r="A192" s="62"/>
      <c r="B192" s="81" t="s">
        <v>953</v>
      </c>
      <c r="C192" s="81"/>
      <c r="D192" s="81"/>
      <c r="E192" s="81"/>
      <c r="F192" s="81"/>
      <c r="H192" s="704"/>
      <c r="I192" s="704"/>
      <c r="J192" s="704"/>
      <c r="K192" s="704"/>
      <c r="L192" s="705"/>
      <c r="M192" s="704"/>
      <c r="N192" s="704"/>
      <c r="O192" s="704"/>
      <c r="P192" s="704"/>
      <c r="Q192" s="704"/>
      <c r="R192" s="674"/>
      <c r="S192" s="3563"/>
      <c r="T192" s="3564"/>
      <c r="U192" s="3564"/>
      <c r="V192" s="3564"/>
      <c r="W192" s="356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 customHeight="1">
      <c r="A193" s="62"/>
      <c r="B193" s="81" t="s">
        <v>690</v>
      </c>
      <c r="C193" s="3603"/>
      <c r="D193" s="3604"/>
      <c r="E193" s="3604"/>
      <c r="F193" s="3605"/>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3"/>
      <c r="T194" s="3574"/>
      <c r="U194" s="3574"/>
      <c r="V194" s="3574"/>
      <c r="W194" s="357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 customHeight="1">
      <c r="A196" s="62"/>
      <c r="B196" s="81" t="s">
        <v>498</v>
      </c>
      <c r="C196" s="81"/>
      <c r="D196" s="81"/>
      <c r="E196" s="81"/>
      <c r="F196" s="81"/>
      <c r="H196" s="704"/>
      <c r="I196" s="704"/>
      <c r="J196" s="704"/>
      <c r="K196" s="704"/>
      <c r="L196" s="705"/>
      <c r="M196" s="704"/>
      <c r="N196" s="704"/>
      <c r="O196" s="704"/>
      <c r="P196" s="704"/>
      <c r="Q196" s="704"/>
      <c r="R196" s="674"/>
      <c r="S196" s="3563"/>
      <c r="T196" s="3564"/>
      <c r="U196" s="3564"/>
      <c r="V196" s="3564"/>
      <c r="W196" s="356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690</v>
      </c>
      <c r="C197" s="3603"/>
      <c r="D197" s="3604"/>
      <c r="E197" s="3604"/>
      <c r="F197" s="3605"/>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3"/>
      <c r="T198" s="3574"/>
      <c r="U198" s="3574"/>
      <c r="V198" s="3574"/>
      <c r="W198" s="357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953</v>
      </c>
      <c r="C201" s="81"/>
      <c r="D201" s="81"/>
      <c r="E201" s="81"/>
      <c r="F201" s="81"/>
      <c r="H201" s="704"/>
      <c r="I201" s="704"/>
      <c r="J201" s="704"/>
      <c r="K201" s="704"/>
      <c r="L201" s="705"/>
      <c r="M201" s="704"/>
      <c r="N201" s="704"/>
      <c r="O201" s="704"/>
      <c r="P201" s="704"/>
      <c r="Q201" s="704"/>
      <c r="R201" s="674"/>
      <c r="S201" s="3563"/>
      <c r="T201" s="3564"/>
      <c r="U201" s="3564"/>
      <c r="V201" s="3564"/>
      <c r="W201" s="356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t="s">
        <v>690</v>
      </c>
      <c r="C202" s="3603"/>
      <c r="D202" s="3604"/>
      <c r="E202" s="3604"/>
      <c r="F202" s="3605"/>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3"/>
      <c r="T203" s="3574"/>
      <c r="U203" s="3574"/>
      <c r="V203" s="3574"/>
      <c r="W203" s="357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498</v>
      </c>
      <c r="C205" s="81"/>
      <c r="D205" s="81"/>
      <c r="E205" s="81"/>
      <c r="F205" s="81"/>
      <c r="H205" s="704"/>
      <c r="I205" s="704"/>
      <c r="J205" s="704"/>
      <c r="K205" s="704"/>
      <c r="L205" s="705"/>
      <c r="M205" s="704"/>
      <c r="N205" s="704"/>
      <c r="O205" s="704"/>
      <c r="P205" s="704"/>
      <c r="Q205" s="704"/>
      <c r="R205" s="674"/>
      <c r="S205" s="3563"/>
      <c r="T205" s="3564"/>
      <c r="U205" s="3564"/>
      <c r="V205" s="3564"/>
      <c r="W205" s="356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690</v>
      </c>
      <c r="C206" s="3603"/>
      <c r="D206" s="3604"/>
      <c r="E206" s="3604"/>
      <c r="F206" s="3605"/>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3"/>
      <c r="T207" s="3574"/>
      <c r="U207" s="3574"/>
      <c r="V207" s="3574"/>
      <c r="W207" s="357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B208" s="400"/>
      <c r="C208" s="68"/>
      <c r="D208" s="68"/>
      <c r="E208" s="68"/>
      <c r="F208" s="68"/>
      <c r="H208" s="710"/>
      <c r="I208" s="68"/>
      <c r="J208" s="68"/>
      <c r="K208" s="68"/>
      <c r="L208" s="68"/>
      <c r="M208" s="68"/>
      <c r="N208" s="68"/>
      <c r="O208" s="68"/>
      <c r="P208" s="68"/>
      <c r="Q208" s="68"/>
      <c r="R208" s="6"/>
    </row>
    <row r="209" spans="1:493" ht="15.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5" customHeight="1">
      <c r="B210" s="81" t="s">
        <v>953</v>
      </c>
      <c r="C210" s="81"/>
      <c r="D210" s="81"/>
      <c r="E210" s="81"/>
      <c r="F210" s="81"/>
      <c r="H210" s="704"/>
      <c r="I210" s="704"/>
      <c r="J210" s="704"/>
      <c r="K210" s="704"/>
      <c r="L210" s="705"/>
      <c r="M210" s="68"/>
      <c r="N210" s="68"/>
      <c r="O210" s="68"/>
      <c r="P210" s="68"/>
      <c r="Q210" s="68"/>
      <c r="R210" s="6"/>
      <c r="S210" s="3563"/>
      <c r="T210" s="3564"/>
      <c r="U210" s="3564"/>
      <c r="V210" s="3564"/>
      <c r="W210" s="3565"/>
    </row>
    <row r="211" spans="1:493" ht="15.5" customHeight="1">
      <c r="B211" s="81" t="s">
        <v>690</v>
      </c>
      <c r="C211" s="3603"/>
      <c r="D211" s="3604"/>
      <c r="E211" s="3604"/>
      <c r="F211" s="3605"/>
      <c r="H211" s="706"/>
      <c r="I211" s="706"/>
      <c r="J211" s="706"/>
      <c r="K211" s="706"/>
      <c r="L211" s="707"/>
      <c r="M211" s="68"/>
      <c r="N211" s="68"/>
      <c r="O211" s="68"/>
      <c r="P211" s="68"/>
      <c r="Q211" s="68"/>
      <c r="R211" s="6"/>
      <c r="S211" s="3560"/>
      <c r="T211" s="3561"/>
      <c r="U211" s="3561"/>
      <c r="V211" s="3561"/>
      <c r="W211" s="3562"/>
    </row>
    <row r="212" spans="1:493" ht="15.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3"/>
      <c r="T212" s="3574"/>
      <c r="U212" s="3574"/>
      <c r="V212" s="3574"/>
      <c r="W212" s="3575"/>
    </row>
    <row r="213" spans="1:493" ht="15.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5" customHeight="1">
      <c r="B214" s="81" t="s">
        <v>498</v>
      </c>
      <c r="C214" s="81"/>
      <c r="D214" s="81"/>
      <c r="E214" s="81"/>
      <c r="F214" s="81"/>
      <c r="H214" s="704"/>
      <c r="I214" s="704"/>
      <c r="J214" s="704"/>
      <c r="K214" s="704"/>
      <c r="L214" s="705"/>
      <c r="M214" s="68"/>
      <c r="N214" s="68"/>
      <c r="O214" s="68"/>
      <c r="P214" s="68"/>
      <c r="Q214" s="68"/>
      <c r="R214" s="6"/>
      <c r="S214" s="3563"/>
      <c r="T214" s="3564"/>
      <c r="U214" s="3564"/>
      <c r="V214" s="3564"/>
      <c r="W214" s="3565"/>
    </row>
    <row r="215" spans="1:493" ht="15.5" customHeight="1">
      <c r="B215" s="81" t="s">
        <v>690</v>
      </c>
      <c r="C215" s="3603"/>
      <c r="D215" s="3604"/>
      <c r="E215" s="3604"/>
      <c r="F215" s="3605"/>
      <c r="H215" s="706"/>
      <c r="I215" s="706"/>
      <c r="J215" s="706"/>
      <c r="K215" s="706"/>
      <c r="L215" s="707"/>
      <c r="M215" s="68"/>
      <c r="N215" s="68"/>
      <c r="O215" s="68"/>
      <c r="P215" s="68"/>
      <c r="Q215" s="68"/>
      <c r="R215" s="6"/>
      <c r="S215" s="3560"/>
      <c r="T215" s="3561"/>
      <c r="U215" s="3561"/>
      <c r="V215" s="3561"/>
      <c r="W215" s="3562"/>
    </row>
    <row r="216" spans="1:493" ht="15.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3"/>
      <c r="T216" s="3574"/>
      <c r="U216" s="3574"/>
      <c r="V216" s="3574"/>
      <c r="W216" s="357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34663</v>
      </c>
      <c r="R220" s="1"/>
      <c r="S220" s="3563"/>
      <c r="T220" s="3564"/>
      <c r="U220" s="3564"/>
      <c r="V220" s="3564"/>
      <c r="W220" s="356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5">
        <v>38654</v>
      </c>
      <c r="G221" s="3626"/>
      <c r="H221" s="1"/>
      <c r="I221" s="1" t="s">
        <v>1300</v>
      </c>
      <c r="K221" s="1"/>
      <c r="L221" s="3625"/>
      <c r="M221" s="3626"/>
      <c r="N221" s="1"/>
      <c r="O221" s="319">
        <f>+Q220/(P67*0.93)</f>
        <v>793.02219171814227</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0">
        <v>41150</v>
      </c>
      <c r="G222" s="3601"/>
      <c r="H222" s="1"/>
      <c r="I222" s="1" t="s">
        <v>1301</v>
      </c>
      <c r="K222" s="1"/>
      <c r="L222" s="3628"/>
      <c r="M222" s="3629"/>
      <c r="N222" s="1"/>
      <c r="O222" s="319">
        <f>+Q220/(P67*0.93)/12</f>
        <v>66.085182643178527</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0"/>
      <c r="G223" s="3601"/>
      <c r="H223" s="1"/>
      <c r="I223" s="1"/>
      <c r="K223" s="8" t="s">
        <v>184</v>
      </c>
      <c r="L223" s="3632">
        <f>SUM(L221:M222)</f>
        <v>0</v>
      </c>
      <c r="M223" s="3633"/>
      <c r="N223" s="1"/>
      <c r="O223" s="29" t="s">
        <v>3222</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00">
        <v>3666</v>
      </c>
      <c r="G224" s="3601"/>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00"/>
      <c r="G225" s="3601"/>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9" t="s">
        <v>46</v>
      </c>
      <c r="C226" s="3610"/>
      <c r="D226" s="3610"/>
      <c r="E226" s="3611"/>
      <c r="F226" s="3628"/>
      <c r="G226" s="3629"/>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2">
        <f>SUM(F221:G226)</f>
        <v>83470</v>
      </c>
      <c r="G227" s="3633"/>
      <c r="H227" s="1"/>
      <c r="I227" s="1" t="s">
        <v>1497</v>
      </c>
      <c r="K227" s="1"/>
      <c r="L227" s="3612">
        <v>1410</v>
      </c>
      <c r="M227" s="3613"/>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5665</v>
      </c>
      <c r="M228" s="3615"/>
      <c r="N228" s="3627" t="str">
        <f>IF(Q230="","",IF(Q228&lt;Q230, "WARNING! OE below required minimum.",""))</f>
        <v/>
      </c>
      <c r="O228" s="4" t="s">
        <v>2029</v>
      </c>
      <c r="P228" s="1"/>
      <c r="Q228" s="326">
        <f>F227+F236+F247+L223+L231+L241+L247+Q220</f>
        <v>340645</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1175</v>
      </c>
      <c r="M229" s="3615"/>
      <c r="N229" s="3627"/>
      <c r="O229" s="42" t="s">
        <v>2486</v>
      </c>
      <c r="P229" s="319">
        <f>+Q228/P67</f>
        <v>7247.7659574468089</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5">
        <v>3650</v>
      </c>
      <c r="G230" s="3626"/>
      <c r="H230" s="1"/>
      <c r="I230" s="3618" t="s">
        <v>46</v>
      </c>
      <c r="J230" s="3619"/>
      <c r="K230" s="3620"/>
      <c r="L230" s="3630"/>
      <c r="M230" s="3631"/>
      <c r="N230" s="3627"/>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211500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0">
        <v>1200</v>
      </c>
      <c r="G231" s="3601"/>
      <c r="H231" s="1"/>
      <c r="I231" s="4"/>
      <c r="K231" s="8" t="s">
        <v>184</v>
      </c>
      <c r="L231" s="3634">
        <f>SUM(L227:L230)</f>
        <v>8250</v>
      </c>
      <c r="M231" s="3635"/>
      <c r="N231" s="3627"/>
      <c r="O231" s="3640" t="s">
        <v>6724</v>
      </c>
      <c r="P231" s="3640"/>
      <c r="Q231" s="3640"/>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0">
        <v>940</v>
      </c>
      <c r="G232" s="3601"/>
      <c r="H232" s="1"/>
      <c r="N232" s="1"/>
      <c r="O232" s="3640"/>
      <c r="P232" s="3640"/>
      <c r="Q232" s="3640"/>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0"/>
      <c r="G233" s="3601"/>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0">
        <v>5230</v>
      </c>
      <c r="G234" s="3601"/>
      <c r="H234" s="1"/>
      <c r="I234" s="4" t="s">
        <v>1297</v>
      </c>
      <c r="K234" s="248" t="s">
        <v>3883</v>
      </c>
      <c r="O234" s="1312" t="s">
        <v>3085</v>
      </c>
      <c r="P234" s="4"/>
      <c r="Q234" s="917">
        <f>Q243</f>
        <v>11750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9" t="s">
        <v>46</v>
      </c>
      <c r="C235" s="3610"/>
      <c r="D235" s="3610"/>
      <c r="E235" s="3611"/>
      <c r="F235" s="3628"/>
      <c r="G235" s="3629"/>
      <c r="H235" s="1"/>
      <c r="I235" s="1" t="s">
        <v>1290</v>
      </c>
      <c r="K235" s="365">
        <f>L235/12/P67</f>
        <v>15.24822695035461</v>
      </c>
      <c r="L235" s="3612">
        <v>8600</v>
      </c>
      <c r="M235" s="3613"/>
      <c r="N235" s="3627" t="str">
        <f>IF(Q234&lt;Q243, "WARNING! RR proposed is below the DCA required minimum.","")</f>
        <v/>
      </c>
      <c r="O235" s="772" t="s">
        <v>3882</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2">
        <f>SUM(F230:G235)</f>
        <v>11020</v>
      </c>
      <c r="G236" s="3633"/>
      <c r="H236" s="1"/>
      <c r="I236" s="1" t="s">
        <v>1291</v>
      </c>
      <c r="K236" s="365">
        <f>L236/12/P67</f>
        <v>0</v>
      </c>
      <c r="L236" s="3614"/>
      <c r="M236" s="3615"/>
      <c r="N236" s="3644"/>
      <c r="O236" s="3645" t="s">
        <v>3229</v>
      </c>
      <c r="P236" s="3646"/>
      <c r="Q236" s="3647"/>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14.184397163120567</v>
      </c>
      <c r="L237" s="3614">
        <v>8000</v>
      </c>
      <c r="M237" s="3615"/>
      <c r="N237" s="3644"/>
      <c r="O237" s="766" t="s">
        <v>2464</v>
      </c>
      <c r="P237" s="669" t="s">
        <v>3283</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12.5</v>
      </c>
      <c r="L238" s="3614">
        <v>7050</v>
      </c>
      <c r="M238" s="3615"/>
      <c r="N238" s="3644"/>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8">
        <v>5993</v>
      </c>
      <c r="G239" s="3649"/>
      <c r="H239" s="1"/>
      <c r="I239" s="72" t="s">
        <v>6681</v>
      </c>
      <c r="K239" s="365">
        <f>L239/12/P67</f>
        <v>52</v>
      </c>
      <c r="L239" s="3614">
        <v>29328</v>
      </c>
      <c r="M239" s="3615"/>
      <c r="N239" s="3644"/>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6">
        <v>16393</v>
      </c>
      <c r="G240" s="3637"/>
      <c r="H240" s="1"/>
      <c r="I240" s="3621" t="s">
        <v>46</v>
      </c>
      <c r="J240" s="3622"/>
      <c r="K240" s="365">
        <f>L240/12/P67</f>
        <v>0</v>
      </c>
      <c r="L240" s="3630"/>
      <c r="M240" s="3631"/>
      <c r="N240" s="3644"/>
      <c r="O240" s="387" t="s">
        <v>3051</v>
      </c>
      <c r="P240" s="673" t="str">
        <f>CONCATENATE(SUM(MK49:MO49)," units x $",'DCA Underwriting Assumptions'!$Q$29," =")</f>
        <v>47 units x $250 =</v>
      </c>
      <c r="Q240" s="501">
        <f>SUM(MK49:MO49)*'DCA Underwriting Assumptions'!$Q$29</f>
        <v>11750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6">
        <v>16450</v>
      </c>
      <c r="G241" s="3637"/>
      <c r="H241" s="1"/>
      <c r="K241" s="8" t="s">
        <v>184</v>
      </c>
      <c r="L241" s="3634">
        <f>SUM(L235:L240)</f>
        <v>52978</v>
      </c>
      <c r="M241" s="3635"/>
      <c r="N241" s="3644"/>
      <c r="O241" s="502" t="s">
        <v>6498</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0">
        <v>3525</v>
      </c>
      <c r="G242" s="3601"/>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0">
        <v>7050</v>
      </c>
      <c r="G243" s="3601"/>
      <c r="H243" s="1"/>
      <c r="I243" s="4" t="s">
        <v>1298</v>
      </c>
      <c r="O243" s="769" t="s">
        <v>2467</v>
      </c>
      <c r="P243" s="770">
        <f>SUM(MF49:MJ49)+SUM(MK49:MO49)+SUM(MP49:MT49)+P125</f>
        <v>47</v>
      </c>
      <c r="Q243" s="771">
        <f>SUM(Q239:Q242)</f>
        <v>11750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0">
        <v>8225</v>
      </c>
      <c r="G244" s="3601"/>
      <c r="H244" s="1"/>
      <c r="I244" s="72" t="s">
        <v>3929</v>
      </c>
      <c r="K244" s="1"/>
      <c r="L244" s="3612">
        <v>52840</v>
      </c>
      <c r="M244" s="3613"/>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0">
        <v>5288</v>
      </c>
      <c r="G245" s="3601"/>
      <c r="H245" s="1"/>
      <c r="I245" s="1" t="s">
        <v>140</v>
      </c>
      <c r="K245" s="1"/>
      <c r="L245" s="3614">
        <v>34500</v>
      </c>
      <c r="M245" s="3615"/>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9" t="s">
        <v>46</v>
      </c>
      <c r="C246" s="3610"/>
      <c r="D246" s="3610"/>
      <c r="E246" s="3611"/>
      <c r="F246" s="3628"/>
      <c r="G246" s="3629"/>
      <c r="H246" s="1"/>
      <c r="I246" s="3618" t="s">
        <v>46</v>
      </c>
      <c r="J246" s="3619"/>
      <c r="K246" s="3620"/>
      <c r="L246" s="3616"/>
      <c r="M246" s="3617"/>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2">
        <f>SUM(F239:G246)</f>
        <v>62924</v>
      </c>
      <c r="G247" s="3643"/>
      <c r="H247" s="1"/>
      <c r="K247" s="8" t="s">
        <v>184</v>
      </c>
      <c r="L247" s="3634">
        <f>SUM(L243:L246)</f>
        <v>87340</v>
      </c>
      <c r="M247" s="3641"/>
      <c r="N247" s="1"/>
      <c r="O247" s="4" t="s">
        <v>2030</v>
      </c>
      <c r="P247" s="1"/>
      <c r="Q247" s="326">
        <f>Q228+Q234</f>
        <v>352395</v>
      </c>
      <c r="R247" s="673"/>
      <c r="S247" s="3573"/>
      <c r="T247" s="3574"/>
      <c r="U247" s="3574"/>
      <c r="V247" s="3574"/>
      <c r="W247" s="357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70"/>
      <c r="L251" s="3571"/>
      <c r="M251" s="1284" t="s">
        <v>3900</v>
      </c>
      <c r="N251" s="1222"/>
      <c r="O251" s="4" t="s">
        <v>3875</v>
      </c>
      <c r="P251" s="1"/>
      <c r="Q251" s="1242">
        <f>K251*N251</f>
        <v>0</v>
      </c>
      <c r="R251" s="671"/>
      <c r="S251" s="3650"/>
      <c r="T251" s="3651"/>
      <c r="U251" s="3651"/>
      <c r="V251" s="3651"/>
      <c r="W251" s="365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50"/>
      <c r="T253" s="3651"/>
      <c r="U253" s="3651"/>
      <c r="V253" s="3651"/>
      <c r="W253" s="365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39" t="s">
        <v>7067</v>
      </c>
      <c r="B256" s="3639"/>
      <c r="C256" s="3639"/>
      <c r="D256" s="3639"/>
      <c r="E256" s="3639"/>
      <c r="F256" s="3639"/>
      <c r="G256" s="3639"/>
      <c r="H256" s="3639"/>
      <c r="I256" s="3639"/>
      <c r="J256" s="3639"/>
      <c r="K256" s="3639"/>
      <c r="L256" s="3639"/>
      <c r="M256" s="3639"/>
      <c r="N256" s="3638"/>
      <c r="O256" s="3638"/>
      <c r="P256" s="3638"/>
      <c r="Q256" s="3638"/>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 customHeight="1">
      <c r="NP260" s="1720"/>
    </row>
    <row r="261" spans="1:493" s="69" customFormat="1" ht="14"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 customHeight="1">
      <c r="NP268" s="1720"/>
    </row>
    <row r="269" spans="1:493" ht="14" customHeight="1">
      <c r="NP269" s="1720"/>
    </row>
    <row r="270" spans="1:493" ht="14" customHeight="1">
      <c r="NP270" s="1720"/>
    </row>
    <row r="271" spans="1:493" ht="14" customHeight="1">
      <c r="NP271" s="1720"/>
    </row>
    <row r="272" spans="1:493" s="69" customFormat="1" ht="14"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 customHeight="1"/>
    <row r="278" spans="1:493" ht="14" customHeight="1">
      <c r="A278" s="10"/>
      <c r="NP278" s="1720"/>
    </row>
    <row r="279" spans="1:493" ht="14" customHeight="1">
      <c r="NP279" s="1720"/>
    </row>
    <row r="280" spans="1:493" ht="14" customHeight="1">
      <c r="NP280" s="1720"/>
    </row>
    <row r="281" spans="1:493" ht="14" customHeight="1">
      <c r="NP281" s="1720"/>
    </row>
    <row r="282" spans="1:493" ht="14" customHeight="1">
      <c r="NP282" s="1720"/>
    </row>
    <row r="283" spans="1:493" ht="14" customHeight="1"/>
    <row r="284" spans="1:493" s="69" customFormat="1" ht="14"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 customHeight="1"/>
    <row r="290" spans="1:380" ht="14" customHeight="1">
      <c r="A290" s="10"/>
      <c r="NP290" s="1720"/>
    </row>
    <row r="291" spans="1:380" ht="14" customHeight="1">
      <c r="NP291" s="1720"/>
    </row>
    <row r="292" spans="1:380" ht="14" customHeight="1">
      <c r="NP292" s="1720"/>
    </row>
    <row r="293" spans="1:380" ht="14" customHeight="1">
      <c r="NP293" s="1720"/>
    </row>
    <row r="294" spans="1:380" ht="14" customHeight="1">
      <c r="NP294" s="1720"/>
    </row>
    <row r="295" spans="1:380" ht="14" customHeight="1"/>
    <row r="296" spans="1:380" ht="14" customHeight="1"/>
    <row r="297" spans="1:380" ht="14" customHeight="1"/>
    <row r="298" spans="1:380" ht="14" customHeight="1"/>
    <row r="299" spans="1:380" ht="14"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1" sqref="A141"/>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 customHeight="1">
      <c r="A2" s="3672" t="str">
        <f>CONCATENATE("PART SIX - OPERATING PRO FORMA","  -  ",'Part I-Project Identification'!$O$7," ",'Part I-Project Identification'!$F$25,", ",'Part I-Project Identification'!F26,", ",'Part I-Project Identification'!J26," County")</f>
        <v>PART SIX - OPERATING PRO FORMA  -  2023-0 Fairhaven on Campbellton, Atlanta, Fulton County</v>
      </c>
      <c r="B2" s="3673"/>
      <c r="C2" s="3673"/>
      <c r="D2" s="3673"/>
      <c r="E2" s="3673"/>
      <c r="F2" s="3673"/>
      <c r="G2" s="3673"/>
      <c r="H2" s="3673"/>
      <c r="I2" s="3673"/>
      <c r="J2" s="3673"/>
      <c r="K2" s="3674"/>
      <c r="L2" s="4"/>
      <c r="M2" s="4"/>
      <c r="N2" s="3675" t="str">
        <f>A2</f>
        <v>PART SIX - OPERATING PRO FORMA  -  2023-0 Fairhaven on Campbellton, Atlanta, Fulton County</v>
      </c>
      <c r="O2" s="3675"/>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6" t="str">
        <f>'Part I-Project Identification'!$A$6</f>
        <v>April 2023</v>
      </c>
      <c r="D4" s="944" t="s">
        <v>75</v>
      </c>
      <c r="E4" s="180"/>
      <c r="F4" s="945" t="s">
        <v>3402</v>
      </c>
      <c r="N4" s="10" t="str">
        <f>A4</f>
        <v>I.  OPERATING ASSUMPTIONS</v>
      </c>
      <c r="O4" s="10"/>
      <c r="AA4" s="1721">
        <v>4</v>
      </c>
    </row>
    <row r="5" spans="1:27" ht="2.75" customHeight="1">
      <c r="C5" s="3676"/>
      <c r="AA5" s="1721">
        <v>5</v>
      </c>
    </row>
    <row r="6" spans="1:27" ht="13.5" customHeight="1">
      <c r="A6" s="6" t="s">
        <v>2031</v>
      </c>
      <c r="B6" s="58">
        <f>'DCA Underwriting Assumptions'!$Q$99</f>
        <v>0.02</v>
      </c>
      <c r="C6" s="3676"/>
      <c r="D6" s="3559" t="s">
        <v>3403</v>
      </c>
      <c r="E6" s="3559"/>
      <c r="F6" s="3559"/>
      <c r="G6" s="59">
        <v>7500</v>
      </c>
      <c r="H6" s="75" t="s">
        <v>1768</v>
      </c>
      <c r="K6" s="80">
        <f>IF(($B$15+$B$16+$B$17+$B$18)=0,"",B31/($B$15+$B$16+$B$17+$B$18))</f>
        <v>-1.2982063698304716E-2</v>
      </c>
      <c r="N6" s="3563"/>
      <c r="O6" s="3565"/>
      <c r="AA6" s="1721">
        <v>6</v>
      </c>
    </row>
    <row r="7" spans="1:27">
      <c r="A7" s="6" t="s">
        <v>2032</v>
      </c>
      <c r="B7" s="58">
        <f>'DCA Underwriting Assumptions'!$Q$102</f>
        <v>0.03</v>
      </c>
      <c r="C7" s="3676"/>
      <c r="D7" s="3559"/>
      <c r="E7" s="3559"/>
      <c r="F7" s="3559"/>
      <c r="G7" s="946">
        <f>IF(OR('Part II-Sources of Funds'!E6="Yes",'Part II-Sources of Funds'!I6&gt;0),'DCA Underwriting Assumptions'!$Q$64,0)</f>
        <v>0</v>
      </c>
      <c r="N7" s="3560"/>
      <c r="O7" s="3562"/>
      <c r="AA7" s="1721">
        <v>7</v>
      </c>
    </row>
    <row r="8" spans="1:27">
      <c r="A8" s="6" t="s">
        <v>2034</v>
      </c>
      <c r="B8" s="58">
        <f>'DCA Underwriting Assumptions'!$Q$103</f>
        <v>0.03</v>
      </c>
      <c r="C8" s="3676"/>
      <c r="D8" s="1" t="s">
        <v>258</v>
      </c>
      <c r="G8" s="61"/>
      <c r="H8" s="75" t="s">
        <v>2191</v>
      </c>
      <c r="K8" s="80">
        <f>IF(($B$15+$B$16+$B$17+$B$18)=0,"",-B22/($B$15+$B$16+$B$17+$B$18))</f>
        <v>5.9999636529911519E-2</v>
      </c>
      <c r="N8" s="3560"/>
      <c r="O8" s="3562"/>
      <c r="AA8" s="1721">
        <v>8</v>
      </c>
    </row>
    <row r="9" spans="1:27" ht="13.25" customHeight="1">
      <c r="A9" s="6" t="s">
        <v>2033</v>
      </c>
      <c r="B9" s="186">
        <v>7.0000000000000007E-2</v>
      </c>
      <c r="C9" s="1213" t="str">
        <f>IF(B9&lt;0.07, "Must be &gt;= 7%!","")</f>
        <v/>
      </c>
      <c r="D9" s="1" t="s">
        <v>2307</v>
      </c>
      <c r="G9" s="1228" t="s">
        <v>2652</v>
      </c>
      <c r="H9" s="140" t="s">
        <v>1355</v>
      </c>
      <c r="K9" s="1230"/>
      <c r="N9" s="3560"/>
      <c r="O9" s="3562"/>
      <c r="AA9" s="1721">
        <v>9</v>
      </c>
    </row>
    <row r="10" spans="1:27">
      <c r="A10" s="6" t="s">
        <v>1336</v>
      </c>
      <c r="B10" s="58">
        <v>0.02</v>
      </c>
      <c r="D10" s="1" t="s">
        <v>1597</v>
      </c>
      <c r="G10" s="1229" t="s">
        <v>2649</v>
      </c>
      <c r="H10" s="140" t="s">
        <v>2174</v>
      </c>
      <c r="K10" s="1231">
        <v>0.06</v>
      </c>
      <c r="N10" s="3573"/>
      <c r="O10" s="3575"/>
      <c r="AA10" s="1721">
        <v>10</v>
      </c>
    </row>
    <row r="11" spans="1:27" ht="9" customHeight="1">
      <c r="AA11" s="1721">
        <v>11</v>
      </c>
    </row>
    <row r="12" spans="1:27">
      <c r="A12" s="10" t="s">
        <v>86</v>
      </c>
      <c r="D12" s="865"/>
      <c r="N12" s="10" t="str">
        <f>A12</f>
        <v>II.  OPERATING PRO FORMA</v>
      </c>
      <c r="AA12" s="1721">
        <v>12</v>
      </c>
    </row>
    <row r="13" spans="1:27" ht="2.75" customHeight="1">
      <c r="AA13" s="1721">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25" customHeight="1">
      <c r="A15" s="14" t="s">
        <v>2215</v>
      </c>
      <c r="B15" s="15">
        <f>'Part V-Revenues &amp; Expenses'!$M$50</f>
        <v>609024</v>
      </c>
      <c r="C15" s="15">
        <f t="shared" ref="C15:K15" si="1">$B$15*(1+$B$6)^(C14-1)</f>
        <v>621204.47999999998</v>
      </c>
      <c r="D15" s="15">
        <f t="shared" si="1"/>
        <v>633628.56960000005</v>
      </c>
      <c r="E15" s="15">
        <f t="shared" si="1"/>
        <v>646301.140992</v>
      </c>
      <c r="F15" s="15">
        <f t="shared" si="1"/>
        <v>659227.16381184</v>
      </c>
      <c r="G15" s="15">
        <f t="shared" si="1"/>
        <v>672411.70708807686</v>
      </c>
      <c r="H15" s="15">
        <f t="shared" si="1"/>
        <v>685859.94122983841</v>
      </c>
      <c r="I15" s="15">
        <f t="shared" si="1"/>
        <v>699577.140054435</v>
      </c>
      <c r="J15" s="15">
        <f t="shared" si="1"/>
        <v>713568.68285552377</v>
      </c>
      <c r="K15" s="16">
        <f t="shared" si="1"/>
        <v>727840.05651263427</v>
      </c>
      <c r="N15" s="3563"/>
      <c r="O15" s="3565"/>
      <c r="S15" s="3668" t="s">
        <v>3408</v>
      </c>
      <c r="Z15" s="1719" t="s">
        <v>6460</v>
      </c>
      <c r="AA15" s="1721">
        <v>15</v>
      </c>
    </row>
    <row r="16" spans="1:27" ht="13.25" customHeight="1">
      <c r="A16" s="17" t="s">
        <v>952</v>
      </c>
      <c r="B16" s="18">
        <f>MIN(B15*B10,'Part V-Revenues &amp; Expenses'!$H$179)</f>
        <v>12180.48</v>
      </c>
      <c r="C16" s="18">
        <f t="shared" ref="C16:K16" si="2">$B$16*(1+$B$6)^(C14-1)</f>
        <v>12424.089599999999</v>
      </c>
      <c r="D16" s="18">
        <f t="shared" si="2"/>
        <v>12672.571392</v>
      </c>
      <c r="E16" s="18">
        <f t="shared" si="2"/>
        <v>12926.022819839998</v>
      </c>
      <c r="F16" s="18">
        <f t="shared" si="2"/>
        <v>13184.5432762368</v>
      </c>
      <c r="G16" s="18">
        <f t="shared" si="2"/>
        <v>13448.234141761535</v>
      </c>
      <c r="H16" s="18">
        <f t="shared" si="2"/>
        <v>13717.198824596768</v>
      </c>
      <c r="I16" s="18">
        <f t="shared" si="2"/>
        <v>13991.542801088699</v>
      </c>
      <c r="J16" s="18">
        <f t="shared" si="2"/>
        <v>14271.373657110475</v>
      </c>
      <c r="K16" s="19">
        <f t="shared" si="2"/>
        <v>14556.801130252685</v>
      </c>
      <c r="N16" s="3560"/>
      <c r="O16" s="3562"/>
      <c r="S16" s="3669"/>
      <c r="Z16" s="1719" t="s">
        <v>6460</v>
      </c>
      <c r="AA16" s="1721">
        <v>16</v>
      </c>
    </row>
    <row r="17" spans="1:27" ht="13.25" customHeight="1">
      <c r="A17" s="17" t="s">
        <v>2216</v>
      </c>
      <c r="B17" s="18">
        <f t="shared" ref="B17:K17" si="3">-(B15+B16)*$B$9</f>
        <v>-43484.313600000001</v>
      </c>
      <c r="C17" s="18">
        <f t="shared" si="3"/>
        <v>-44353.999872</v>
      </c>
      <c r="D17" s="18">
        <f t="shared" si="3"/>
        <v>-45241.079869440007</v>
      </c>
      <c r="E17" s="18">
        <f t="shared" si="3"/>
        <v>-46145.901466828807</v>
      </c>
      <c r="F17" s="18">
        <f t="shared" si="3"/>
        <v>-47068.819496165379</v>
      </c>
      <c r="G17" s="18">
        <f t="shared" si="3"/>
        <v>-48010.195886088695</v>
      </c>
      <c r="H17" s="18">
        <f t="shared" si="3"/>
        <v>-48970.399803810469</v>
      </c>
      <c r="I17" s="18">
        <f t="shared" si="3"/>
        <v>-49949.807799886657</v>
      </c>
      <c r="J17" s="18">
        <f t="shared" si="3"/>
        <v>-50948.803955884403</v>
      </c>
      <c r="K17" s="19">
        <f t="shared" si="3"/>
        <v>-51967.780035002092</v>
      </c>
      <c r="N17" s="3560"/>
      <c r="O17" s="3562"/>
      <c r="Q17" s="3671" t="s">
        <v>3298</v>
      </c>
      <c r="R17" s="3671" t="s">
        <v>3407</v>
      </c>
      <c r="S17" s="3669"/>
      <c r="Z17" s="1719" t="s">
        <v>6460</v>
      </c>
      <c r="AA17" s="1721">
        <v>17</v>
      </c>
    </row>
    <row r="18" spans="1:27" ht="13.2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1"/>
      <c r="R18" s="3671"/>
      <c r="S18" s="3670"/>
      <c r="Z18" s="1719" t="s">
        <v>6460</v>
      </c>
      <c r="AA18" s="1721">
        <v>18</v>
      </c>
    </row>
    <row r="19" spans="1:27" ht="13.2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6460</v>
      </c>
      <c r="AA19" s="1721">
        <v>19</v>
      </c>
    </row>
    <row r="20" spans="1:27" ht="13.25" customHeight="1">
      <c r="A20" s="341" t="s">
        <v>3837</v>
      </c>
      <c r="B20" s="18">
        <f>SUM(B15:B19)</f>
        <v>577720.16639999999</v>
      </c>
      <c r="C20" s="18">
        <f t="shared" ref="C20:K20" si="4">SUM(C15:C19)</f>
        <v>589274.56972799997</v>
      </c>
      <c r="D20" s="18">
        <f t="shared" si="4"/>
        <v>601060.06112255994</v>
      </c>
      <c r="E20" s="18">
        <f t="shared" si="4"/>
        <v>613081.26234501123</v>
      </c>
      <c r="F20" s="18">
        <f t="shared" si="4"/>
        <v>625342.88759191136</v>
      </c>
      <c r="G20" s="18">
        <f t="shared" si="4"/>
        <v>637849.74534374976</v>
      </c>
      <c r="H20" s="18">
        <f t="shared" si="4"/>
        <v>650606.74025062472</v>
      </c>
      <c r="I20" s="18">
        <f t="shared" si="4"/>
        <v>663618.87505563698</v>
      </c>
      <c r="J20" s="18">
        <f t="shared" si="4"/>
        <v>676891.25255674985</v>
      </c>
      <c r="K20" s="19">
        <f t="shared" si="4"/>
        <v>690429.07760788489</v>
      </c>
      <c r="N20" s="3560"/>
      <c r="O20" s="3562"/>
      <c r="Z20" s="1719" t="s">
        <v>6460</v>
      </c>
      <c r="AA20" s="1721">
        <v>20</v>
      </c>
    </row>
    <row r="21" spans="1:27" ht="13.25" customHeight="1">
      <c r="A21" s="17" t="s">
        <v>572</v>
      </c>
      <c r="B21" s="18">
        <f>-('Part V-Revenues &amp; Expenses'!$Q$228-'Part V-Revenues &amp; Expenses'!$Q$220)</f>
        <v>-305982</v>
      </c>
      <c r="C21" s="18">
        <f t="shared" ref="C21:K21" si="5">$B$21*(1+$B$7)^(C14-1)</f>
        <v>-315161.46000000002</v>
      </c>
      <c r="D21" s="18">
        <f t="shared" si="5"/>
        <v>-324616.30379999999</v>
      </c>
      <c r="E21" s="18">
        <f t="shared" si="5"/>
        <v>-334354.79291399999</v>
      </c>
      <c r="F21" s="18">
        <f t="shared" si="5"/>
        <v>-344385.43670142</v>
      </c>
      <c r="G21" s="18">
        <f t="shared" si="5"/>
        <v>-354716.99980246252</v>
      </c>
      <c r="H21" s="18">
        <f t="shared" si="5"/>
        <v>-365358.50979653647</v>
      </c>
      <c r="I21" s="18">
        <f t="shared" si="5"/>
        <v>-376319.26509043254</v>
      </c>
      <c r="J21" s="18">
        <f t="shared" si="5"/>
        <v>-387608.84304314549</v>
      </c>
      <c r="K21" s="19">
        <f t="shared" si="5"/>
        <v>-399237.10833443986</v>
      </c>
      <c r="N21" s="3560"/>
      <c r="O21" s="3562"/>
      <c r="Q21" s="47">
        <v>1</v>
      </c>
      <c r="R21" s="869">
        <f>-B32</f>
        <v>29631.066666666666</v>
      </c>
      <c r="S21" s="869">
        <f>B33+R21</f>
        <v>30243.549186331045</v>
      </c>
      <c r="Z21" s="1719" t="s">
        <v>6460</v>
      </c>
      <c r="AA21" s="1721">
        <v>21</v>
      </c>
    </row>
    <row r="22" spans="1:27" ht="13.25" customHeight="1">
      <c r="A22" s="17" t="s">
        <v>1050</v>
      </c>
      <c r="B22" s="18">
        <f>IF(AND('Part VI-Pro Forma'!$G$9="Yes",'Part VI-Pro Forma'!$G$10="Yes"),"Choose One!",IF('Part VI-Pro Forma'!$G$9="Yes",ROUND((-$K$9*(1+'Part VI-Pro Forma'!$B$7)^('Part VI-Pro Forma'!B14-1)),),IF('Part VI-Pro Forma'!$G$10="Yes",ROUND((-(SUM(B15:B18)*'Part VI-Pro Forma'!$K$10)),),"Choose mgt fee")))</f>
        <v>-34663</v>
      </c>
      <c r="C22" s="18">
        <f>IF(AND('Part VI-Pro Forma'!$G$9="Yes",'Part VI-Pro Forma'!$G$10="Yes"),"Choose One!",IF('Part VI-Pro Forma'!$G$9="Yes",ROUND((-$K$9*(1+'Part VI-Pro Forma'!$B$7)^('Part VI-Pro Forma'!C14-1)),),IF('Part VI-Pro Forma'!$G$10="Yes",ROUND((-(SUM(C15:C18)*'Part VI-Pro Forma'!$K$10)),),"Choose mgt fee")))</f>
        <v>-35356</v>
      </c>
      <c r="D22" s="18">
        <f>IF(AND('Part VI-Pro Forma'!$G$9="Yes",'Part VI-Pro Forma'!$G$10="Yes"),"Choose One!",IF('Part VI-Pro Forma'!$G$9="Yes",ROUND((-$K$9*(1+'Part VI-Pro Forma'!$B$7)^('Part VI-Pro Forma'!D14-1)),),IF('Part VI-Pro Forma'!$G$10="Yes",ROUND((-(SUM(D15:D18)*'Part VI-Pro Forma'!$K$10)),),"Choose mgt fee")))</f>
        <v>-36064</v>
      </c>
      <c r="E22" s="18">
        <f>IF(AND('Part VI-Pro Forma'!$G$9="Yes",'Part VI-Pro Forma'!$G$10="Yes"),"Choose One!",IF('Part VI-Pro Forma'!$G$9="Yes",ROUND((-$K$9*(1+'Part VI-Pro Forma'!$B$7)^('Part VI-Pro Forma'!E14-1)),),IF('Part VI-Pro Forma'!$G$10="Yes",ROUND((-(SUM(E15:E18)*'Part VI-Pro Forma'!$K$10)),),"Choose mgt fee")))</f>
        <v>-36785</v>
      </c>
      <c r="F22" s="18">
        <f>IF(AND('Part VI-Pro Forma'!$G$9="Yes",'Part VI-Pro Forma'!$G$10="Yes"),"Choose One!",IF('Part VI-Pro Forma'!$G$9="Yes",ROUND((-$K$9*(1+'Part VI-Pro Forma'!$B$7)^('Part VI-Pro Forma'!F14-1)),),IF('Part VI-Pro Forma'!$G$10="Yes",ROUND((-(SUM(F15:F18)*'Part VI-Pro Forma'!$K$10)),),"Choose mgt fee")))</f>
        <v>-37521</v>
      </c>
      <c r="G22" s="18">
        <f>IF(AND('Part VI-Pro Forma'!$G$9="Yes",'Part VI-Pro Forma'!$G$10="Yes"),"Choose One!",IF('Part VI-Pro Forma'!$G$9="Yes",ROUND((-$K$9*(1+'Part VI-Pro Forma'!$B$7)^('Part VI-Pro Forma'!G14-1)),),IF('Part VI-Pro Forma'!$G$10="Yes",ROUND((-(SUM(G15:G18)*'Part VI-Pro Forma'!$K$10)),),"Choose mgt fee")))</f>
        <v>-38271</v>
      </c>
      <c r="H22" s="18">
        <f>IF(AND('Part VI-Pro Forma'!$G$9="Yes",'Part VI-Pro Forma'!$G$10="Yes"),"Choose One!",IF('Part VI-Pro Forma'!$G$9="Yes",ROUND((-$K$9*(1+'Part VI-Pro Forma'!$B$7)^('Part VI-Pro Forma'!H14-1)),),IF('Part VI-Pro Forma'!$G$10="Yes",ROUND((-(SUM(H15:H18)*'Part VI-Pro Forma'!$K$10)),),"Choose mgt fee")))</f>
        <v>-39036</v>
      </c>
      <c r="I22" s="18">
        <f>IF(AND('Part VI-Pro Forma'!$G$9="Yes",'Part VI-Pro Forma'!$G$10="Yes"),"Choose One!",IF('Part VI-Pro Forma'!$G$9="Yes",ROUND((-$K$9*(1+'Part VI-Pro Forma'!$B$7)^('Part VI-Pro Forma'!I14-1)),),IF('Part VI-Pro Forma'!$G$10="Yes",ROUND((-(SUM(I15:I18)*'Part VI-Pro Forma'!$K$10)),),"Choose mgt fee")))</f>
        <v>-39817</v>
      </c>
      <c r="J22" s="18">
        <f>IF(AND('Part VI-Pro Forma'!$G$9="Yes",'Part VI-Pro Forma'!$G$10="Yes"),"Choose One!",IF('Part VI-Pro Forma'!$G$9="Yes",ROUND((-$K$9*(1+'Part VI-Pro Forma'!$B$7)^('Part VI-Pro Forma'!J14-1)),),IF('Part VI-Pro Forma'!$G$10="Yes",ROUND((-(SUM(J15:J18)*'Part VI-Pro Forma'!$K$10)),),"Choose mgt fee")))</f>
        <v>-40613</v>
      </c>
      <c r="K22" s="19">
        <f>IF(AND('Part VI-Pro Forma'!$G$9="Yes",'Part VI-Pro Forma'!$G$10="Yes"),"Choose One!",IF('Part VI-Pro Forma'!$G$9="Yes",ROUND((-$K$9*(1+'Part VI-Pro Forma'!$B$7)^('Part VI-Pro Forma'!K14-1)),),IF('Part VI-Pro Forma'!$G$10="Yes",ROUND((-(SUM(K15:K18)*'Part VI-Pro Forma'!$K$10)),),"Choose mgt fee")))</f>
        <v>-41426</v>
      </c>
      <c r="N22" s="3560"/>
      <c r="O22" s="3562"/>
      <c r="Q22" s="47">
        <v>2</v>
      </c>
      <c r="R22" s="869">
        <f>-SUM(B32:C32)</f>
        <v>59262.133333333331</v>
      </c>
      <c r="S22" s="869">
        <f>SUM(B33:C33)+R22</f>
        <v>61816.541700662056</v>
      </c>
      <c r="Z22" s="1719" t="s">
        <v>6460</v>
      </c>
      <c r="AA22" s="1721">
        <v>22</v>
      </c>
    </row>
    <row r="23" spans="1:27" ht="13.25" customHeight="1">
      <c r="A23" s="17" t="s">
        <v>1128</v>
      </c>
      <c r="B23" s="18">
        <f>-('Part V-Revenues &amp; Expenses'!$Q$234)</f>
        <v>-11750</v>
      </c>
      <c r="C23" s="18">
        <f t="shared" ref="C23:K23" si="6">$B$23*(1+$B$8)^(C14-1)</f>
        <v>-12102.5</v>
      </c>
      <c r="D23" s="18">
        <f t="shared" si="6"/>
        <v>-12465.574999999999</v>
      </c>
      <c r="E23" s="18">
        <f t="shared" si="6"/>
        <v>-12839.54225</v>
      </c>
      <c r="F23" s="18">
        <f t="shared" si="6"/>
        <v>-13224.7285175</v>
      </c>
      <c r="G23" s="18">
        <f t="shared" si="6"/>
        <v>-13621.470373024998</v>
      </c>
      <c r="H23" s="18">
        <f t="shared" si="6"/>
        <v>-14030.114484215748</v>
      </c>
      <c r="I23" s="18">
        <f t="shared" si="6"/>
        <v>-14451.017918742222</v>
      </c>
      <c r="J23" s="18">
        <f t="shared" si="6"/>
        <v>-14884.548456304487</v>
      </c>
      <c r="K23" s="19">
        <f t="shared" si="6"/>
        <v>-15331.084909993622</v>
      </c>
      <c r="N23" s="3560"/>
      <c r="O23" s="3562"/>
      <c r="Q23" s="47">
        <v>3</v>
      </c>
      <c r="R23" s="869">
        <f>-SUM(B32:D32)</f>
        <v>88893.2</v>
      </c>
      <c r="S23" s="869">
        <f>SUM(B33:D33)+R23</f>
        <v>94649.10680955305</v>
      </c>
      <c r="Z23" s="1719" t="s">
        <v>6460</v>
      </c>
      <c r="AA23" s="1721">
        <v>23</v>
      </c>
    </row>
    <row r="24" spans="1:27" ht="13.2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118524.26666666666</v>
      </c>
      <c r="S24" s="869">
        <f>SUM(B33:E33)+R24</f>
        <v>128669.41677689535</v>
      </c>
      <c r="Z24" s="1719" t="s">
        <v>6460</v>
      </c>
      <c r="AA24" s="1721">
        <v>24</v>
      </c>
    </row>
    <row r="25" spans="1:27" ht="13.25" customHeight="1">
      <c r="A25" s="17" t="s">
        <v>1129</v>
      </c>
      <c r="B25" s="18">
        <f>SUM(B20:B24)</f>
        <v>225325.16639999999</v>
      </c>
      <c r="C25" s="18">
        <f t="shared" ref="C25:J25" si="7">SUM(C20:C24)</f>
        <v>226654.60972799995</v>
      </c>
      <c r="D25" s="18">
        <f t="shared" si="7"/>
        <v>227914.18232255994</v>
      </c>
      <c r="E25" s="18">
        <f t="shared" si="7"/>
        <v>229101.92718101124</v>
      </c>
      <c r="F25" s="18">
        <f t="shared" si="7"/>
        <v>230211.72237299138</v>
      </c>
      <c r="G25" s="18">
        <f t="shared" si="7"/>
        <v>231240.27516826225</v>
      </c>
      <c r="H25" s="18">
        <f t="shared" si="7"/>
        <v>232182.11596987251</v>
      </c>
      <c r="I25" s="18">
        <f t="shared" si="7"/>
        <v>233031.5920464622</v>
      </c>
      <c r="J25" s="18">
        <f t="shared" si="7"/>
        <v>233784.86105729989</v>
      </c>
      <c r="K25" s="1215">
        <f>SUM(K20:K24)</f>
        <v>234434.88436345139</v>
      </c>
      <c r="N25" s="3560"/>
      <c r="O25" s="3562"/>
      <c r="Q25" s="92">
        <v>5</v>
      </c>
      <c r="R25" s="869">
        <f>-SUM(B32:F32)</f>
        <v>148155.33333333331</v>
      </c>
      <c r="S25" s="869">
        <f>SUM(B33:F33)+R25</f>
        <v>163799.52193621779</v>
      </c>
      <c r="Z25" s="1719" t="s">
        <v>6460</v>
      </c>
      <c r="AA25" s="1721">
        <v>25</v>
      </c>
    </row>
    <row r="26" spans="1:27" ht="13.25" customHeight="1">
      <c r="A26" s="341" t="s">
        <v>1486</v>
      </c>
      <c r="B26" s="342">
        <f>IF('Part II-Sources of Funds'!$P$40="", 0,-'Part II-Sources of Funds'!$P$40)</f>
        <v>-187581.61721366894</v>
      </c>
      <c r="C26" s="342">
        <f>IF('Part II-Sources of Funds'!$P$40="", 0,-'Part II-Sources of Funds'!$P$40)</f>
        <v>-187581.61721366894</v>
      </c>
      <c r="D26" s="342">
        <f>IF('Part II-Sources of Funds'!$P$40="", 0,-'Part II-Sources of Funds'!$P$40)</f>
        <v>-187581.61721366894</v>
      </c>
      <c r="E26" s="342">
        <f>IF('Part II-Sources of Funds'!$P$40="", 0,-'Part II-Sources of Funds'!$P$40)</f>
        <v>-187581.61721366894</v>
      </c>
      <c r="F26" s="342">
        <f>IF('Part II-Sources of Funds'!$P$40="", 0,-'Part II-Sources of Funds'!$P$40)</f>
        <v>-187581.61721366894</v>
      </c>
      <c r="G26" s="342">
        <f>IF('Part II-Sources of Funds'!$P$40="", 0,-'Part II-Sources of Funds'!$P$40)</f>
        <v>-187581.61721366894</v>
      </c>
      <c r="H26" s="342">
        <f>IF('Part II-Sources of Funds'!$P$40="", 0,-'Part II-Sources of Funds'!$P$40)</f>
        <v>-187581.61721366894</v>
      </c>
      <c r="I26" s="342">
        <f>IF('Part II-Sources of Funds'!$P$40="", 0,-'Part II-Sources of Funds'!$P$40)</f>
        <v>-187581.61721366894</v>
      </c>
      <c r="J26" s="342">
        <f>IF('Part II-Sources of Funds'!$P$40="", 0,-'Part II-Sources of Funds'!$P$40)</f>
        <v>-187581.61721366894</v>
      </c>
      <c r="K26" s="342">
        <f>IF('Part II-Sources of Funds'!$P$40="", 0,-'Part II-Sources of Funds'!$P$40)</f>
        <v>-187581.61721366894</v>
      </c>
      <c r="N26" s="3560"/>
      <c r="O26" s="3562"/>
      <c r="Q26" s="92">
        <v>6</v>
      </c>
      <c r="R26" s="869">
        <f>-SUM(B32:G32)</f>
        <v>177786.39999999997</v>
      </c>
      <c r="S26" s="869">
        <f>SUM(B33:G33)+R26</f>
        <v>199958.17989081106</v>
      </c>
      <c r="Z26" s="1719" t="s">
        <v>6460</v>
      </c>
      <c r="AA26" s="1721">
        <v>26</v>
      </c>
    </row>
    <row r="27" spans="1:27" ht="13.2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207417.46666666662</v>
      </c>
      <c r="S27" s="869">
        <f>SUM(B33:H33)+R27</f>
        <v>237058.6786470146</v>
      </c>
      <c r="Z27" s="1719" t="s">
        <v>6460</v>
      </c>
      <c r="AA27" s="1721">
        <v>27</v>
      </c>
    </row>
    <row r="28" spans="1:27" ht="13.2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237048.53333333327</v>
      </c>
      <c r="S28" s="869">
        <f>SUM(B33:I33)+R28</f>
        <v>275008.65347980789</v>
      </c>
      <c r="Z28" s="1719" t="s">
        <v>6460</v>
      </c>
      <c r="AA28" s="1721">
        <v>28</v>
      </c>
    </row>
    <row r="29" spans="1:27" ht="13.2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266679.59999999992</v>
      </c>
      <c r="S29" s="869">
        <f>SUM(B33:J33)+R29</f>
        <v>313711.89732343878</v>
      </c>
      <c r="Z29" s="1719" t="s">
        <v>6460</v>
      </c>
      <c r="AA29" s="1721">
        <v>29</v>
      </c>
    </row>
    <row r="30" spans="1:27" ht="13.25" customHeight="1">
      <c r="A30" s="17" t="s">
        <v>711</v>
      </c>
      <c r="B30" s="138"/>
      <c r="C30" s="138"/>
      <c r="D30" s="138"/>
      <c r="E30" s="138"/>
      <c r="F30" s="138"/>
      <c r="G30" s="138"/>
      <c r="H30" s="138"/>
      <c r="I30" s="138"/>
      <c r="J30" s="138"/>
      <c r="K30" s="138"/>
      <c r="N30" s="3560"/>
      <c r="O30" s="3562"/>
      <c r="Q30" s="92">
        <v>10</v>
      </c>
      <c r="R30" s="869">
        <f>-SUM(B32:K32)</f>
        <v>296310.66666666657</v>
      </c>
      <c r="S30" s="869">
        <f>SUM(B33:K33)+R30</f>
        <v>353065.16447322123</v>
      </c>
      <c r="Z30" s="1719" t="s">
        <v>6460</v>
      </c>
      <c r="AA30" s="1721">
        <v>30</v>
      </c>
    </row>
    <row r="31" spans="1:27" ht="13.2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60"/>
      <c r="O31" s="3562"/>
      <c r="Q31" s="92">
        <v>11</v>
      </c>
      <c r="R31" s="869">
        <f>-SUM(B32:K32)-B64</f>
        <v>325941.73333333322</v>
      </c>
      <c r="S31" s="869">
        <f>SUM(B33:K33)+B65+R31</f>
        <v>392961.96737782826</v>
      </c>
      <c r="Z31" s="1719" t="s">
        <v>6460</v>
      </c>
      <c r="AA31" s="1721">
        <v>31</v>
      </c>
    </row>
    <row r="32" spans="1:27" ht="13.25" customHeight="1">
      <c r="A32" s="341" t="s">
        <v>3361</v>
      </c>
      <c r="B32" s="179">
        <f>IF('Part II-Sources of Funds'!$P$45="", 0,-'Part II-Sources of Funds'!$P$45)</f>
        <v>-29631.066666666666</v>
      </c>
      <c r="C32" s="179">
        <f>IF('Part II-Sources of Funds'!$P$45="", 0,-'Part II-Sources of Funds'!$P$45)</f>
        <v>-29631.066666666666</v>
      </c>
      <c r="D32" s="179">
        <f>IF('Part II-Sources of Funds'!$P$45="", 0,-'Part II-Sources of Funds'!$P$45)</f>
        <v>-29631.066666666666</v>
      </c>
      <c r="E32" s="179">
        <f>IF('Part II-Sources of Funds'!$P$45="", 0,-'Part II-Sources of Funds'!$P$45)</f>
        <v>-29631.066666666666</v>
      </c>
      <c r="F32" s="179">
        <f>IF('Part II-Sources of Funds'!$P$45="", 0,-'Part II-Sources of Funds'!$P$45)</f>
        <v>-29631.066666666666</v>
      </c>
      <c r="G32" s="179">
        <f>IF('Part II-Sources of Funds'!$P$45="", 0,-'Part II-Sources of Funds'!$P$45)</f>
        <v>-29631.066666666666</v>
      </c>
      <c r="H32" s="179">
        <f>IF('Part II-Sources of Funds'!$P$45="", 0,-'Part II-Sources of Funds'!$P$45)</f>
        <v>-29631.066666666666</v>
      </c>
      <c r="I32" s="179">
        <f>IF('Part II-Sources of Funds'!$P$45="", 0,-'Part II-Sources of Funds'!$P$45)</f>
        <v>-29631.066666666666</v>
      </c>
      <c r="J32" s="179">
        <f>IF('Part II-Sources of Funds'!$P$45="", 0,-'Part II-Sources of Funds'!$P$45)</f>
        <v>-29631.066666666666</v>
      </c>
      <c r="K32" s="179">
        <f>IF('Part II-Sources of Funds'!$P$45="", 0,-'Part II-Sources of Funds'!$P$45)</f>
        <v>-29631.066666666666</v>
      </c>
      <c r="N32" s="3560"/>
      <c r="O32" s="3562"/>
      <c r="Q32" s="92">
        <v>12</v>
      </c>
      <c r="R32" s="869">
        <f>-SUM(B32:K32) - SUM(B64:C64)</f>
        <v>355572.79999999993</v>
      </c>
      <c r="S32" s="869">
        <f>SUM(B33:K33) + SUM(B65:C65)+R32</f>
        <v>433288.36629438307</v>
      </c>
      <c r="Z32" s="1719" t="s">
        <v>6460</v>
      </c>
      <c r="AA32" s="1721">
        <v>32</v>
      </c>
    </row>
    <row r="33" spans="1:27" ht="13.25" customHeight="1">
      <c r="A33" s="17" t="s">
        <v>1096</v>
      </c>
      <c r="B33" s="18">
        <f t="shared" ref="B33:K33" si="9">SUM(B25:B32)</f>
        <v>612.48251966437965</v>
      </c>
      <c r="C33" s="18">
        <f t="shared" si="9"/>
        <v>1941.9258476643445</v>
      </c>
      <c r="D33" s="18">
        <f t="shared" si="9"/>
        <v>3201.4984422243288</v>
      </c>
      <c r="E33" s="18">
        <f t="shared" si="9"/>
        <v>4389.2433006756328</v>
      </c>
      <c r="F33" s="18">
        <f t="shared" si="9"/>
        <v>5499.0384926557745</v>
      </c>
      <c r="G33" s="18">
        <f t="shared" si="9"/>
        <v>6527.5912879266398</v>
      </c>
      <c r="H33" s="18">
        <f t="shared" si="9"/>
        <v>7469.4320895369019</v>
      </c>
      <c r="I33" s="18">
        <f t="shared" si="9"/>
        <v>8318.9081661265955</v>
      </c>
      <c r="J33" s="18">
        <f t="shared" si="9"/>
        <v>9072.1771769642801</v>
      </c>
      <c r="K33" s="19">
        <f t="shared" si="9"/>
        <v>9722.2004831157828</v>
      </c>
      <c r="N33" s="3560"/>
      <c r="O33" s="3562"/>
      <c r="Q33" s="92">
        <v>13</v>
      </c>
      <c r="R33" s="869">
        <f>-SUM(B32:K32) - SUM(B64:D64)</f>
        <v>385203.86666666658</v>
      </c>
      <c r="S33" s="869">
        <f>SUM(B33:K33) + SUM(B65:D65)+R33</f>
        <v>473924.75157141231</v>
      </c>
      <c r="Z33" s="1719" t="s">
        <v>6460</v>
      </c>
      <c r="AA33" s="1721">
        <v>33</v>
      </c>
    </row>
    <row r="34" spans="1:27" ht="13.25" customHeight="1">
      <c r="A34" s="17" t="str">
        <f>IF('Part II-Sources of Funds'!$E$40 = "Neither", "", "DCR Mortgage A")</f>
        <v>DCR Mortgage A</v>
      </c>
      <c r="B34" s="20">
        <f t="shared" ref="B34:K34" si="10">IF(B26=0,"",-B25/B26)</f>
        <v>1.2012113433446863</v>
      </c>
      <c r="C34" s="20">
        <f t="shared" si="10"/>
        <v>1.2082986227260428</v>
      </c>
      <c r="D34" s="20">
        <f t="shared" si="10"/>
        <v>1.2150134203339835</v>
      </c>
      <c r="E34" s="20">
        <f t="shared" si="10"/>
        <v>1.2213453033622568</v>
      </c>
      <c r="F34" s="20">
        <f t="shared" si="10"/>
        <v>1.2272616357218185</v>
      </c>
      <c r="G34" s="20">
        <f t="shared" si="10"/>
        <v>1.2327448638256646</v>
      </c>
      <c r="H34" s="20">
        <f t="shared" si="10"/>
        <v>1.2377658291825067</v>
      </c>
      <c r="I34" s="20">
        <f t="shared" si="10"/>
        <v>1.2422943970091829</v>
      </c>
      <c r="J34" s="20">
        <f t="shared" si="10"/>
        <v>1.2463100837381209</v>
      </c>
      <c r="K34" s="21">
        <f t="shared" si="10"/>
        <v>1.249775366295159</v>
      </c>
      <c r="N34" s="3560"/>
      <c r="O34" s="3562"/>
      <c r="Q34" s="92">
        <v>14</v>
      </c>
      <c r="R34" s="869">
        <f>-SUM(B32:K32) - SUM(B64:E64)</f>
        <v>414834.93333333323</v>
      </c>
      <c r="S34" s="869">
        <f>SUM(B33:K33) + SUM(B65:E65)+R34</f>
        <v>514744.61831726145</v>
      </c>
      <c r="Z34" s="1719" t="s">
        <v>6460</v>
      </c>
      <c r="AA34" s="1721">
        <v>34</v>
      </c>
    </row>
    <row r="35" spans="1:27" ht="13.2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444465.99999999988</v>
      </c>
      <c r="S35" s="869">
        <f>SUM(B33:K33) + SUM(B65:F65)+R35</f>
        <v>555617.33320387697</v>
      </c>
      <c r="Z35" s="1719" t="s">
        <v>6460</v>
      </c>
      <c r="AA35" s="1721">
        <v>35</v>
      </c>
    </row>
    <row r="36" spans="1:27" ht="13.2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444465.99999999988</v>
      </c>
      <c r="S36" s="869">
        <f>SUM(B33:K33) + SUM(B65:G65)+R36</f>
        <v>596402.89314792131</v>
      </c>
      <c r="Z36" s="1719" t="s">
        <v>6460</v>
      </c>
      <c r="AA36" s="1721">
        <v>36</v>
      </c>
    </row>
    <row r="37" spans="1:27" ht="13.2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444465.99999999988</v>
      </c>
      <c r="S37" s="869">
        <f>SUM(B33:K33) + SUM(B65:H65)+R37</f>
        <v>636955.67560300627</v>
      </c>
      <c r="Z37" s="1719" t="s">
        <v>6460</v>
      </c>
      <c r="AA37" s="1721">
        <v>37</v>
      </c>
    </row>
    <row r="38" spans="1:27" ht="13.25" customHeight="1">
      <c r="A38" s="341" t="s">
        <v>3213</v>
      </c>
      <c r="B38" s="20">
        <f t="shared" ref="B38:K38" si="14">IF(AND(B26=0,B27=0,B28=0,B29=0),"",-B25/(B26+B27+B28+B29))</f>
        <v>1.2012113433446863</v>
      </c>
      <c r="C38" s="20">
        <f t="shared" si="14"/>
        <v>1.2082986227260428</v>
      </c>
      <c r="D38" s="20">
        <f t="shared" si="14"/>
        <v>1.2150134203339835</v>
      </c>
      <c r="E38" s="20">
        <f t="shared" si="14"/>
        <v>1.2213453033622568</v>
      </c>
      <c r="F38" s="20">
        <f t="shared" si="14"/>
        <v>1.2272616357218185</v>
      </c>
      <c r="G38" s="20">
        <f t="shared" si="14"/>
        <v>1.2327448638256646</v>
      </c>
      <c r="H38" s="20">
        <f t="shared" si="14"/>
        <v>1.2377658291825067</v>
      </c>
      <c r="I38" s="20">
        <f t="shared" si="14"/>
        <v>1.2422943970091829</v>
      </c>
      <c r="J38" s="20">
        <f t="shared" si="14"/>
        <v>1.2463100837381209</v>
      </c>
      <c r="K38" s="21">
        <f t="shared" si="14"/>
        <v>1.249775366295159</v>
      </c>
      <c r="N38" s="3560"/>
      <c r="O38" s="3562"/>
      <c r="Q38" s="47">
        <v>18</v>
      </c>
      <c r="R38" s="869">
        <f>-SUM(B32:K32) - SUM(B64:I64)</f>
        <v>444465.99999999988</v>
      </c>
      <c r="S38" s="869">
        <f>SUM(B33:K33) + SUM(B65:I65)+R38</f>
        <v>864703.79740205803</v>
      </c>
      <c r="Z38" s="1719" t="s">
        <v>6460</v>
      </c>
      <c r="AA38" s="1721">
        <v>38</v>
      </c>
    </row>
    <row r="39" spans="1:27" ht="13.25" customHeight="1">
      <c r="A39" s="17" t="s">
        <v>718</v>
      </c>
      <c r="B39" s="220">
        <f t="shared" ref="B39:K39" si="15">IF(OR(B22="Choose mgt fee",B22="Choose One!"),"",(B15+B16+B17+B18+B19) / -(B21+B22+B23))</f>
        <v>1.6394107930021709</v>
      </c>
      <c r="C39" s="220">
        <f t="shared" si="15"/>
        <v>1.6250472525781536</v>
      </c>
      <c r="D39" s="220">
        <f t="shared" si="15"/>
        <v>1.610791101473529</v>
      </c>
      <c r="E39" s="220">
        <f t="shared" si="15"/>
        <v>1.5966517106530234</v>
      </c>
      <c r="F39" s="220">
        <f t="shared" si="15"/>
        <v>1.5826210196440567</v>
      </c>
      <c r="G39" s="220">
        <f t="shared" si="15"/>
        <v>1.5687036139823842</v>
      </c>
      <c r="H39" s="220">
        <f t="shared" si="15"/>
        <v>1.5548959179182635</v>
      </c>
      <c r="I39" s="220">
        <f t="shared" si="15"/>
        <v>1.5411947849874073</v>
      </c>
      <c r="J39" s="220">
        <f t="shared" si="15"/>
        <v>1.527604353135561</v>
      </c>
      <c r="K39" s="221">
        <f t="shared" si="15"/>
        <v>1.5141181353548152</v>
      </c>
      <c r="N39" s="3560"/>
      <c r="O39" s="3562"/>
      <c r="Q39" s="92">
        <v>19</v>
      </c>
      <c r="R39" s="869">
        <f>-SUM(B32:K32) - SUM(B64:J64)</f>
        <v>444465.99999999988</v>
      </c>
      <c r="S39" s="869">
        <f>SUM(B33:K33) + SUM(B65:J65)+R39</f>
        <v>1091904.9957981207</v>
      </c>
      <c r="Z39" s="1719" t="s">
        <v>6460</v>
      </c>
      <c r="AA39" s="1721">
        <v>39</v>
      </c>
    </row>
    <row r="40" spans="1:27" ht="13.25" customHeight="1">
      <c r="A40" s="341" t="s">
        <v>2405</v>
      </c>
      <c r="B40" s="177">
        <f>IF('Part II-Sources of Funds'!$I$40="","",-FV('Part II-Sources of Funds'!$K$40/12,12,B26/12,'Part II-Sources of Funds'!$I$40))</f>
        <v>2635892.0887586484</v>
      </c>
      <c r="C40" s="177">
        <f>IF('Part II-Sources of Funds'!$I$40="","",-FV('Part II-Sources of Funds'!$K$40/12,12,C26/12,B40))</f>
        <v>2620830.0595279713</v>
      </c>
      <c r="D40" s="177">
        <f>IF('Part II-Sources of Funds'!$I$40="","",-FV('Part II-Sources of Funds'!$K$40/12,12,D26/12,C40))</f>
        <v>2604749.3853115924</v>
      </c>
      <c r="E40" s="177">
        <f>IF('Part II-Sources of Funds'!$I$40="","",-FV('Part II-Sources of Funds'!$K$40/12,12,E26/12,D40))</f>
        <v>2587581.1751525891</v>
      </c>
      <c r="F40" s="177">
        <f>IF('Part II-Sources of Funds'!$I$40="","",-FV('Part II-Sources of Funds'!$K$40/12,12,F26/12,E40))</f>
        <v>2569251.8789988561</v>
      </c>
      <c r="G40" s="177">
        <f>IF('Part II-Sources of Funds'!$I$40="","",-FV('Part II-Sources of Funds'!$K$40/12,12,G26/12,F40))</f>
        <v>2549682.9726085146</v>
      </c>
      <c r="H40" s="177">
        <f>IF('Part II-Sources of Funds'!$I$40="","",-FV('Part II-Sources of Funds'!$K$40/12,12,H26/12,G40))</f>
        <v>2528790.6211454738</v>
      </c>
      <c r="I40" s="177">
        <f>IF('Part II-Sources of Funds'!$I$40="","",-FV('Part II-Sources of Funds'!$K$40/12,12,I26/12,H40))</f>
        <v>2506485.3200239628</v>
      </c>
      <c r="J40" s="177">
        <f>IF('Part II-Sources of Funds'!$I$40="","",-FV('Part II-Sources of Funds'!$K$40/12,12,J26/12,I40))</f>
        <v>2482671.5114633795</v>
      </c>
      <c r="K40" s="177">
        <f>IF('Part II-Sources of Funds'!$I$40="","",-FV('Part II-Sources of Funds'!$K$40/12,12,K26/12,J40))</f>
        <v>2457247.1751107443</v>
      </c>
      <c r="N40" s="3560"/>
      <c r="O40" s="3562"/>
      <c r="Q40" s="92">
        <v>20</v>
      </c>
      <c r="R40" s="869">
        <f>-SUM(B32:K32) - SUM(B64:K64)</f>
        <v>444465.99999999988</v>
      </c>
      <c r="S40" s="869">
        <f>SUM(B33:K33) + SUM(B65:K65)+R40</f>
        <v>1318391.2035479662</v>
      </c>
      <c r="Z40" s="1719" t="s">
        <v>6460</v>
      </c>
      <c r="AA40" s="1721">
        <v>40</v>
      </c>
    </row>
    <row r="41" spans="1:27" ht="13.2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6460</v>
      </c>
      <c r="AA41" s="1721">
        <v>41</v>
      </c>
    </row>
    <row r="42" spans="1:27" ht="13.2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6460</v>
      </c>
      <c r="AA42" s="1721">
        <v>42</v>
      </c>
    </row>
    <row r="43" spans="1:27" ht="13.2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6460</v>
      </c>
      <c r="AA43" s="1721">
        <v>43</v>
      </c>
    </row>
    <row r="44" spans="1:27" ht="13.25" customHeight="1">
      <c r="A44" s="341" t="s">
        <v>3362</v>
      </c>
      <c r="B44" s="179">
        <f>IF('Part II-Sources of Funds'!$I$45="","",-FV('Part II-Sources of Funds'!$K$45/12,12,B32/12,'Part II-Sources of Funds'!$I$45))</f>
        <v>414834.93333333335</v>
      </c>
      <c r="C44" s="179">
        <f>IF('Part II-Sources of Funds'!$I$45="","",IF(-FV('Part II-Sources of Funds'!$K$45/12,12,C32/12,B44)&gt;0,-FV('Part II-Sources of Funds'!$K$45/12,12,C32/12,B44),0))</f>
        <v>385203.8666666667</v>
      </c>
      <c r="D44" s="179">
        <f>IF('Part II-Sources of Funds'!$I$45="","",IF(-FV('Part II-Sources of Funds'!$K$45/12,12,D32/12,C44)&gt;0,-FV('Part II-Sources of Funds'!$K$45/12,12,D32/12,C44),0))</f>
        <v>355572.80000000005</v>
      </c>
      <c r="E44" s="179">
        <f>IF('Part II-Sources of Funds'!$I$45="","",IF(-FV('Part II-Sources of Funds'!$K$45/12,12,E32/12,D44)&gt;0,-FV('Part II-Sources of Funds'!$K$45/12,12,E32/12,D44),0))</f>
        <v>325941.7333333334</v>
      </c>
      <c r="F44" s="179">
        <f>IF('Part II-Sources of Funds'!$I$45="","",IF(-FV('Part II-Sources of Funds'!$K$45/12,12,F32/12,E44)&gt;0,-FV('Part II-Sources of Funds'!$K$45/12,12,F32/12,E44),0))</f>
        <v>296310.66666666674</v>
      </c>
      <c r="G44" s="179">
        <f>IF('Part II-Sources of Funds'!$I$45="","",IF(-FV('Part II-Sources of Funds'!$K$45/12,12,G32/12,F44)&gt;0,-FV('Part II-Sources of Funds'!$K$45/12,12,G32/12,F44),0))</f>
        <v>266679.60000000009</v>
      </c>
      <c r="H44" s="179">
        <f>IF('Part II-Sources of Funds'!$I$45="","",IF(-FV('Part II-Sources of Funds'!$K$45/12,12,H32/12,G44)&gt;0,-FV('Part II-Sources of Funds'!$K$45/12,12,H32/12,G44),0))</f>
        <v>237048.53333333344</v>
      </c>
      <c r="I44" s="179">
        <f>IF('Part II-Sources of Funds'!$I$45="","",IF(-FV('Part II-Sources of Funds'!$K$45/12,12,I32/12,H44)&gt;0,-FV('Part II-Sources of Funds'!$K$45/12,12,I32/12,H44),0))</f>
        <v>207417.46666666679</v>
      </c>
      <c r="J44" s="179">
        <f>IF('Part II-Sources of Funds'!$I$45="","",IF(-FV('Part II-Sources of Funds'!$K$45/12,12,J32/12,I44)&gt;0,-FV('Part II-Sources of Funds'!$K$45/12,12,J32/12,I44),0))</f>
        <v>177786.40000000014</v>
      </c>
      <c r="K44" s="179">
        <f>IF('Part II-Sources of Funds'!$I$45="","",IF(-FV('Part II-Sources of Funds'!$K$45/12,12,K32/12,J44)&gt;0,-FV('Part II-Sources of Funds'!$K$45/12,12,K32/12,J44),0))</f>
        <v>148155.33333333349</v>
      </c>
      <c r="N44" s="3573"/>
      <c r="O44" s="3575"/>
      <c r="Z44" s="1719" t="s">
        <v>6460</v>
      </c>
      <c r="AA44" s="1721">
        <v>44</v>
      </c>
    </row>
    <row r="45" spans="1:27" ht="4.25" customHeight="1">
      <c r="B45" s="13"/>
      <c r="C45" s="13"/>
      <c r="D45" s="13"/>
      <c r="E45" s="13"/>
      <c r="F45" s="13"/>
      <c r="G45" s="13"/>
      <c r="H45" s="13"/>
      <c r="I45" s="13"/>
      <c r="J45" s="13"/>
      <c r="K45" s="13"/>
      <c r="AA45" s="1721">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25" customHeight="1">
      <c r="A47" s="14" t="s">
        <v>2215</v>
      </c>
      <c r="B47" s="15">
        <f t="shared" ref="B47:K47" si="17">$B$15*(1+$B$6)^(B46-1)</f>
        <v>742396.85764288693</v>
      </c>
      <c r="C47" s="15">
        <f t="shared" si="17"/>
        <v>757244.79479574459</v>
      </c>
      <c r="D47" s="15">
        <f t="shared" si="17"/>
        <v>772389.69069165958</v>
      </c>
      <c r="E47" s="15">
        <f t="shared" si="17"/>
        <v>787837.48450549273</v>
      </c>
      <c r="F47" s="15">
        <f t="shared" si="17"/>
        <v>803594.23419560259</v>
      </c>
      <c r="G47" s="15">
        <f t="shared" si="17"/>
        <v>819666.11887951451</v>
      </c>
      <c r="H47" s="15">
        <f t="shared" si="17"/>
        <v>836059.44125710486</v>
      </c>
      <c r="I47" s="15">
        <f t="shared" si="17"/>
        <v>852780.63008224708</v>
      </c>
      <c r="J47" s="15">
        <f t="shared" si="17"/>
        <v>869836.24268389191</v>
      </c>
      <c r="K47" s="16">
        <f t="shared" si="17"/>
        <v>887232.9675375697</v>
      </c>
      <c r="N47" s="3563"/>
      <c r="O47" s="3565"/>
      <c r="Z47" s="1719" t="s">
        <v>6461</v>
      </c>
      <c r="AA47" s="1721">
        <v>47</v>
      </c>
    </row>
    <row r="48" spans="1:27" ht="13.25" customHeight="1">
      <c r="A48" s="17" t="s">
        <v>952</v>
      </c>
      <c r="B48" s="18">
        <f t="shared" ref="B48:K48" si="18">$B$16*(1+$B$6)^(B46-1)</f>
        <v>14847.937152857738</v>
      </c>
      <c r="C48" s="18">
        <f t="shared" si="18"/>
        <v>15144.895895914891</v>
      </c>
      <c r="D48" s="18">
        <f t="shared" si="18"/>
        <v>15447.79381383319</v>
      </c>
      <c r="E48" s="18">
        <f t="shared" si="18"/>
        <v>15756.749690109853</v>
      </c>
      <c r="F48" s="18">
        <f t="shared" si="18"/>
        <v>16071.884683912052</v>
      </c>
      <c r="G48" s="18">
        <f t="shared" si="18"/>
        <v>16393.322377590288</v>
      </c>
      <c r="H48" s="18">
        <f t="shared" si="18"/>
        <v>16721.188825142097</v>
      </c>
      <c r="I48" s="18">
        <f t="shared" si="18"/>
        <v>17055.612601644942</v>
      </c>
      <c r="J48" s="18">
        <f t="shared" si="18"/>
        <v>17396.724853677839</v>
      </c>
      <c r="K48" s="19">
        <f t="shared" si="18"/>
        <v>17744.659350751394</v>
      </c>
      <c r="N48" s="3560"/>
      <c r="O48" s="3562"/>
      <c r="Z48" s="1719" t="s">
        <v>6461</v>
      </c>
      <c r="AA48" s="1721">
        <v>48</v>
      </c>
    </row>
    <row r="49" spans="1:27" ht="13.25" customHeight="1">
      <c r="A49" s="17" t="s">
        <v>2216</v>
      </c>
      <c r="B49" s="18">
        <f t="shared" ref="B49:K49" si="19">-(B47+B48)*$B$9</f>
        <v>-53007.135635702136</v>
      </c>
      <c r="C49" s="18">
        <f t="shared" si="19"/>
        <v>-54067.27834841617</v>
      </c>
      <c r="D49" s="18">
        <f t="shared" si="19"/>
        <v>-55148.623915384494</v>
      </c>
      <c r="E49" s="18">
        <f t="shared" si="19"/>
        <v>-56251.596393692183</v>
      </c>
      <c r="F49" s="18">
        <f t="shared" si="19"/>
        <v>-57376.62832156603</v>
      </c>
      <c r="G49" s="18">
        <f t="shared" si="19"/>
        <v>-58524.160887997336</v>
      </c>
      <c r="H49" s="18">
        <f t="shared" si="19"/>
        <v>-59694.644105757296</v>
      </c>
      <c r="I49" s="18">
        <f t="shared" si="19"/>
        <v>-60888.536987872445</v>
      </c>
      <c r="J49" s="18">
        <f t="shared" si="19"/>
        <v>-62106.307727629886</v>
      </c>
      <c r="K49" s="19">
        <f t="shared" si="19"/>
        <v>-63348.433882182486</v>
      </c>
      <c r="N49" s="3560"/>
      <c r="O49" s="3562"/>
      <c r="Z49" s="1719" t="s">
        <v>6461</v>
      </c>
      <c r="AA49" s="1721">
        <v>49</v>
      </c>
    </row>
    <row r="50" spans="1:27" ht="13.2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6461</v>
      </c>
      <c r="AA50" s="1721">
        <v>50</v>
      </c>
    </row>
    <row r="51" spans="1:27" ht="13.2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6461</v>
      </c>
      <c r="AA51" s="1721">
        <v>51</v>
      </c>
    </row>
    <row r="52" spans="1:27" ht="13.25" customHeight="1">
      <c r="A52" s="341" t="s">
        <v>3837</v>
      </c>
      <c r="B52" s="18">
        <f t="shared" ref="B52:K52" si="20">SUM(B47:B51)</f>
        <v>704237.65916004253</v>
      </c>
      <c r="C52" s="18">
        <f t="shared" si="20"/>
        <v>718322.41234324325</v>
      </c>
      <c r="D52" s="18">
        <f t="shared" si="20"/>
        <v>732688.8605901082</v>
      </c>
      <c r="E52" s="18">
        <f t="shared" si="20"/>
        <v>747342.6378019104</v>
      </c>
      <c r="F52" s="18">
        <f t="shared" si="20"/>
        <v>762289.49055794859</v>
      </c>
      <c r="G52" s="18">
        <f t="shared" si="20"/>
        <v>777535.28036910738</v>
      </c>
      <c r="H52" s="18">
        <f t="shared" si="20"/>
        <v>793085.98597648973</v>
      </c>
      <c r="I52" s="18">
        <f t="shared" si="20"/>
        <v>808947.70569601958</v>
      </c>
      <c r="J52" s="18">
        <f t="shared" si="20"/>
        <v>825126.6598099398</v>
      </c>
      <c r="K52" s="19">
        <f t="shared" si="20"/>
        <v>841629.19300613867</v>
      </c>
      <c r="N52" s="3560"/>
      <c r="O52" s="3562"/>
      <c r="Z52" s="1719" t="s">
        <v>6461</v>
      </c>
      <c r="AA52" s="1721">
        <v>52</v>
      </c>
    </row>
    <row r="53" spans="1:27" ht="13.25" customHeight="1">
      <c r="A53" s="17" t="s">
        <v>572</v>
      </c>
      <c r="B53" s="18">
        <f t="shared" ref="B53:K53" si="21">$B$21*(1+$B$7)^(B46-1)</f>
        <v>-411214.2215844731</v>
      </c>
      <c r="C53" s="18">
        <f t="shared" si="21"/>
        <v>-423550.64823200728</v>
      </c>
      <c r="D53" s="18">
        <f t="shared" si="21"/>
        <v>-436257.16767896741</v>
      </c>
      <c r="E53" s="18">
        <f t="shared" si="21"/>
        <v>-449344.88270933641</v>
      </c>
      <c r="F53" s="18">
        <f t="shared" si="21"/>
        <v>-462825.22919061658</v>
      </c>
      <c r="G53" s="18">
        <f t="shared" si="21"/>
        <v>-476709.98606633511</v>
      </c>
      <c r="H53" s="18">
        <f t="shared" si="21"/>
        <v>-491011.28564832505</v>
      </c>
      <c r="I53" s="18">
        <f t="shared" si="21"/>
        <v>-505741.62421777484</v>
      </c>
      <c r="J53" s="18">
        <f t="shared" si="21"/>
        <v>-520913.8729443081</v>
      </c>
      <c r="K53" s="19">
        <f t="shared" si="21"/>
        <v>-536541.28913263732</v>
      </c>
      <c r="N53" s="3560"/>
      <c r="O53" s="3562"/>
      <c r="Z53" s="1719" t="s">
        <v>6461</v>
      </c>
      <c r="AA53" s="1721">
        <v>53</v>
      </c>
    </row>
    <row r="54" spans="1:27" ht="13.25" customHeight="1">
      <c r="A54" s="17" t="s">
        <v>1050</v>
      </c>
      <c r="B54" s="18">
        <f>IF(AND('Part VI-Pro Forma'!$G$9="Yes",'Part VI-Pro Forma'!$G$10="Yes"),"Choose One!",IF('Part VI-Pro Forma'!$G$9="Yes",ROUND((-$K$9*(1+'Part VI-Pro Forma'!$B$7)^('Part VI-Pro Forma'!B46-1)),),IF('Part VI-Pro Forma'!$G$10="Yes",ROUND((-(SUM(B47:B50)*'Part VI-Pro Forma'!$K$10)),),"Choose mgt fee")))</f>
        <v>-42254</v>
      </c>
      <c r="C54" s="18">
        <f>IF(AND('Part VI-Pro Forma'!$G$9="Yes",'Part VI-Pro Forma'!$G$10="Yes"),"Choose One!",IF('Part VI-Pro Forma'!$G$9="Yes",ROUND((-$K$9*(1+'Part VI-Pro Forma'!$B$7)^('Part VI-Pro Forma'!C46-1)),),IF('Part VI-Pro Forma'!$G$10="Yes",ROUND((-(SUM(C47:C50)*'Part VI-Pro Forma'!$K$10)),),"Choose mgt fee")))</f>
        <v>-43099</v>
      </c>
      <c r="D54" s="18">
        <f>IF(AND('Part VI-Pro Forma'!$G$9="Yes",'Part VI-Pro Forma'!$G$10="Yes"),"Choose One!",IF('Part VI-Pro Forma'!$G$9="Yes",ROUND((-$K$9*(1+'Part VI-Pro Forma'!$B$7)^('Part VI-Pro Forma'!D46-1)),),IF('Part VI-Pro Forma'!$G$10="Yes",ROUND((-(SUM(D47:D50)*'Part VI-Pro Forma'!$K$10)),),"Choose mgt fee")))</f>
        <v>-43961</v>
      </c>
      <c r="E54" s="18">
        <f>IF(AND('Part VI-Pro Forma'!$G$9="Yes",'Part VI-Pro Forma'!$G$10="Yes"),"Choose One!",IF('Part VI-Pro Forma'!$G$9="Yes",ROUND((-$K$9*(1+'Part VI-Pro Forma'!$B$7)^('Part VI-Pro Forma'!E46-1)),),IF('Part VI-Pro Forma'!$G$10="Yes",ROUND((-(SUM(E47:E50)*'Part VI-Pro Forma'!$K$10)),),"Choose mgt fee")))</f>
        <v>-44841</v>
      </c>
      <c r="F54" s="18">
        <f>IF(AND('Part VI-Pro Forma'!$G$9="Yes",'Part VI-Pro Forma'!$G$10="Yes"),"Choose One!",IF('Part VI-Pro Forma'!$G$9="Yes",ROUND((-$K$9*(1+'Part VI-Pro Forma'!$B$7)^('Part VI-Pro Forma'!F46-1)),),IF('Part VI-Pro Forma'!$G$10="Yes",ROUND((-(SUM(F47:F50)*'Part VI-Pro Forma'!$K$10)),),"Choose mgt fee")))</f>
        <v>-45737</v>
      </c>
      <c r="G54" s="18">
        <f>IF(AND('Part VI-Pro Forma'!$G$9="Yes",'Part VI-Pro Forma'!$G$10="Yes"),"Choose One!",IF('Part VI-Pro Forma'!$G$9="Yes",ROUND((-$K$9*(1+'Part VI-Pro Forma'!$B$7)^('Part VI-Pro Forma'!G46-1)),),IF('Part VI-Pro Forma'!$G$10="Yes",ROUND((-(SUM(G47:G50)*'Part VI-Pro Forma'!$K$10)),),"Choose mgt fee")))</f>
        <v>-46652</v>
      </c>
      <c r="H54" s="18">
        <f>IF(AND('Part VI-Pro Forma'!$G$9="Yes",'Part VI-Pro Forma'!$G$10="Yes"),"Choose One!",IF('Part VI-Pro Forma'!$G$9="Yes",ROUND((-$K$9*(1+'Part VI-Pro Forma'!$B$7)^('Part VI-Pro Forma'!H46-1)),),IF('Part VI-Pro Forma'!$G$10="Yes",ROUND((-(SUM(H47:H50)*'Part VI-Pro Forma'!$K$10)),),"Choose mgt fee")))</f>
        <v>-47585</v>
      </c>
      <c r="I54" s="18">
        <f>IF(AND('Part VI-Pro Forma'!$G$9="Yes",'Part VI-Pro Forma'!$G$10="Yes"),"Choose One!",IF('Part VI-Pro Forma'!$G$9="Yes",ROUND((-$K$9*(1+'Part VI-Pro Forma'!$B$7)^('Part VI-Pro Forma'!I46-1)),),IF('Part VI-Pro Forma'!$G$10="Yes",ROUND((-(SUM(I47:I50)*'Part VI-Pro Forma'!$K$10)),),"Choose mgt fee")))</f>
        <v>-48537</v>
      </c>
      <c r="J54" s="18">
        <f>IF(AND('Part VI-Pro Forma'!$G$9="Yes",'Part VI-Pro Forma'!$G$10="Yes"),"Choose One!",IF('Part VI-Pro Forma'!$G$9="Yes",ROUND((-$K$9*(1+'Part VI-Pro Forma'!$B$7)^('Part VI-Pro Forma'!J46-1)),),IF('Part VI-Pro Forma'!$G$10="Yes",ROUND((-(SUM(J47:J50)*'Part VI-Pro Forma'!$K$10)),),"Choose mgt fee")))</f>
        <v>-49508</v>
      </c>
      <c r="K54" s="19">
        <f>IF(AND('Part VI-Pro Forma'!$G$9="Yes",'Part VI-Pro Forma'!$G$10="Yes"),"Choose One!",IF('Part VI-Pro Forma'!$G$9="Yes",ROUND((-$K$9*(1+'Part VI-Pro Forma'!$B$7)^('Part VI-Pro Forma'!K46-1)),),IF('Part VI-Pro Forma'!$G$10="Yes",ROUND((-(SUM(K47:K50)*'Part VI-Pro Forma'!$K$10)),),"Choose mgt fee")))</f>
        <v>-50498</v>
      </c>
      <c r="N54" s="3560"/>
      <c r="O54" s="3562"/>
      <c r="Z54" s="1719" t="s">
        <v>6461</v>
      </c>
      <c r="AA54" s="1721">
        <v>54</v>
      </c>
    </row>
    <row r="55" spans="1:27" ht="13.25" customHeight="1">
      <c r="A55" s="17" t="s">
        <v>1128</v>
      </c>
      <c r="B55" s="18">
        <f t="shared" ref="B55:K55" si="22">$B$23*(1+$B$8)^(B46-1)</f>
        <v>-15791.01745729343</v>
      </c>
      <c r="C55" s="18">
        <f t="shared" si="22"/>
        <v>-16264.747981012235</v>
      </c>
      <c r="D55" s="18">
        <f t="shared" si="22"/>
        <v>-16752.690420442599</v>
      </c>
      <c r="E55" s="18">
        <f t="shared" si="22"/>
        <v>-17255.271133055878</v>
      </c>
      <c r="F55" s="18">
        <f t="shared" si="22"/>
        <v>-17772.929267047555</v>
      </c>
      <c r="G55" s="18">
        <f t="shared" si="22"/>
        <v>-18306.117145058983</v>
      </c>
      <c r="H55" s="18">
        <f t="shared" si="22"/>
        <v>-18855.300659410746</v>
      </c>
      <c r="I55" s="18">
        <f t="shared" si="22"/>
        <v>-19420.959679193071</v>
      </c>
      <c r="J55" s="18">
        <f t="shared" si="22"/>
        <v>-20003.588469568862</v>
      </c>
      <c r="K55" s="19">
        <f t="shared" si="22"/>
        <v>-20603.696123655929</v>
      </c>
      <c r="N55" s="3560"/>
      <c r="O55" s="3562"/>
      <c r="Q55" s="92"/>
      <c r="R55" s="869"/>
      <c r="S55" s="869"/>
      <c r="Z55" s="1719" t="s">
        <v>6461</v>
      </c>
      <c r="AA55" s="1721">
        <v>55</v>
      </c>
    </row>
    <row r="56" spans="1:27" ht="13.2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6461</v>
      </c>
      <c r="AA56" s="1721">
        <v>56</v>
      </c>
    </row>
    <row r="57" spans="1:27" ht="13.25" customHeight="1">
      <c r="A57" s="17" t="s">
        <v>1129</v>
      </c>
      <c r="B57" s="18">
        <f t="shared" ref="B57:K57" si="23">SUM(B52:B56)</f>
        <v>234978.420118276</v>
      </c>
      <c r="C57" s="18">
        <f t="shared" si="23"/>
        <v>235408.01613022372</v>
      </c>
      <c r="D57" s="18">
        <f t="shared" si="23"/>
        <v>235718.00249069819</v>
      </c>
      <c r="E57" s="18">
        <f t="shared" si="23"/>
        <v>235901.48395951811</v>
      </c>
      <c r="F57" s="18">
        <f t="shared" si="23"/>
        <v>235954.33210028446</v>
      </c>
      <c r="G57" s="18">
        <f t="shared" si="23"/>
        <v>235867.17715771327</v>
      </c>
      <c r="H57" s="18">
        <f t="shared" si="23"/>
        <v>235634.39966875393</v>
      </c>
      <c r="I57" s="18">
        <f t="shared" si="23"/>
        <v>235248.12179905167</v>
      </c>
      <c r="J57" s="18">
        <f t="shared" si="23"/>
        <v>234701.19839606283</v>
      </c>
      <c r="K57" s="1215">
        <f t="shared" si="23"/>
        <v>233986.2077498454</v>
      </c>
      <c r="N57" s="3560"/>
      <c r="O57" s="3562"/>
      <c r="Z57" s="1719" t="s">
        <v>6461</v>
      </c>
      <c r="AA57" s="1721">
        <v>57</v>
      </c>
    </row>
    <row r="58" spans="1:27" ht="13.25" customHeight="1">
      <c r="A58" s="17" t="str">
        <f>$A26</f>
        <v>Mortgage A</v>
      </c>
      <c r="B58" s="342">
        <f>IF('Part II-Sources of Funds'!$P$40="", 0,-'Part II-Sources of Funds'!$P$40)</f>
        <v>-187581.61721366894</v>
      </c>
      <c r="C58" s="342">
        <f>IF('Part II-Sources of Funds'!$P$40="", 0,-'Part II-Sources of Funds'!$P$40)</f>
        <v>-187581.61721366894</v>
      </c>
      <c r="D58" s="342">
        <f>IF('Part II-Sources of Funds'!$P$40="", 0,-'Part II-Sources of Funds'!$P$40)</f>
        <v>-187581.61721366894</v>
      </c>
      <c r="E58" s="342">
        <f>IF('Part II-Sources of Funds'!$P$40="", 0,-'Part II-Sources of Funds'!$P$40)</f>
        <v>-187581.61721366894</v>
      </c>
      <c r="F58" s="342">
        <f>IF('Part II-Sources of Funds'!$P$40="", 0,-'Part II-Sources of Funds'!$P$40)</f>
        <v>-187581.61721366894</v>
      </c>
      <c r="G58" s="342">
        <f>IF('Part II-Sources of Funds'!$P$40="", 0,-'Part II-Sources of Funds'!$P$40)</f>
        <v>-187581.61721366894</v>
      </c>
      <c r="H58" s="342">
        <f>IF('Part II-Sources of Funds'!$P$40="", 0,-'Part II-Sources of Funds'!$P$40)</f>
        <v>-187581.61721366894</v>
      </c>
      <c r="I58" s="342">
        <f>IF('Part II-Sources of Funds'!$P$40="", 0,-'Part II-Sources of Funds'!$P$40)*0</f>
        <v>0</v>
      </c>
      <c r="J58" s="342"/>
      <c r="K58" s="342"/>
      <c r="N58" s="3560"/>
      <c r="O58" s="3562"/>
      <c r="Z58" s="1719" t="s">
        <v>6461</v>
      </c>
      <c r="AA58" s="1721">
        <v>58</v>
      </c>
    </row>
    <row r="59" spans="1:27" ht="13.2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6461</v>
      </c>
      <c r="AA59" s="1721">
        <v>59</v>
      </c>
    </row>
    <row r="60" spans="1:27" ht="13.2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6461</v>
      </c>
      <c r="AA60" s="1721">
        <v>60</v>
      </c>
    </row>
    <row r="61" spans="1:27" ht="13.2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6461</v>
      </c>
      <c r="AA61" s="1721">
        <v>61</v>
      </c>
    </row>
    <row r="62" spans="1:27" ht="13.25" customHeight="1">
      <c r="A62" s="17" t="s">
        <v>711</v>
      </c>
      <c r="B62" s="138"/>
      <c r="C62" s="138"/>
      <c r="D62" s="138"/>
      <c r="E62" s="138"/>
      <c r="F62" s="138"/>
      <c r="G62" s="138"/>
      <c r="H62" s="138"/>
      <c r="I62" s="138"/>
      <c r="J62" s="138"/>
      <c r="K62" s="138"/>
      <c r="N62" s="3560"/>
      <c r="O62" s="3562"/>
      <c r="Q62" s="92"/>
      <c r="R62" s="869"/>
      <c r="Z62" s="1719" t="s">
        <v>6461</v>
      </c>
      <c r="AA62" s="1721">
        <v>62</v>
      </c>
    </row>
    <row r="63" spans="1:27" ht="13.2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60"/>
      <c r="O63" s="3562"/>
      <c r="Z63" s="1719" t="s">
        <v>6461</v>
      </c>
      <c r="AA63" s="1721">
        <v>63</v>
      </c>
    </row>
    <row r="64" spans="1:27" ht="13.25" customHeight="1">
      <c r="A64" s="341" t="s">
        <v>3361</v>
      </c>
      <c r="B64" s="179">
        <f>IF('Part II-Sources of Funds'!$P$45="", 0,-'Part II-Sources of Funds'!$P$45)</f>
        <v>-29631.066666666666</v>
      </c>
      <c r="C64" s="179">
        <f>IF('Part II-Sources of Funds'!$P$45="", 0,-'Part II-Sources of Funds'!$P$45)</f>
        <v>-29631.066666666666</v>
      </c>
      <c r="D64" s="179">
        <f>IF('Part II-Sources of Funds'!$P$45="", 0,-'Part II-Sources of Funds'!$P$45)</f>
        <v>-29631.066666666666</v>
      </c>
      <c r="E64" s="179">
        <f>IF('Part II-Sources of Funds'!$P$45="", 0,-'Part II-Sources of Funds'!$P$45)</f>
        <v>-29631.066666666666</v>
      </c>
      <c r="F64" s="179">
        <f>IF('Part II-Sources of Funds'!$P$45="", 0,-'Part II-Sources of Funds'!$P$45)</f>
        <v>-29631.066666666666</v>
      </c>
      <c r="G64" s="179"/>
      <c r="H64" s="179"/>
      <c r="I64" s="179"/>
      <c r="J64" s="179"/>
      <c r="K64" s="179"/>
      <c r="N64" s="3560"/>
      <c r="O64" s="3562"/>
      <c r="Z64" s="1719" t="s">
        <v>6461</v>
      </c>
      <c r="AA64" s="1721">
        <v>64</v>
      </c>
    </row>
    <row r="65" spans="1:27" ht="13.25" customHeight="1">
      <c r="A65" s="17" t="s">
        <v>1096</v>
      </c>
      <c r="B65" s="18">
        <f t="shared" ref="B65:K65" si="25">SUM(B57:B64)</f>
        <v>10265.736237940393</v>
      </c>
      <c r="C65" s="18">
        <f t="shared" si="25"/>
        <v>10695.332249888117</v>
      </c>
      <c r="D65" s="18">
        <f t="shared" si="25"/>
        <v>11005.318610362578</v>
      </c>
      <c r="E65" s="18">
        <f t="shared" si="25"/>
        <v>11188.800079182503</v>
      </c>
      <c r="F65" s="18">
        <f t="shared" si="25"/>
        <v>11241.648219948853</v>
      </c>
      <c r="G65" s="18">
        <f t="shared" si="25"/>
        <v>40785.559944044333</v>
      </c>
      <c r="H65" s="18">
        <f t="shared" si="25"/>
        <v>40552.782455084991</v>
      </c>
      <c r="I65" s="18">
        <f t="shared" si="25"/>
        <v>227748.12179905167</v>
      </c>
      <c r="J65" s="18">
        <f t="shared" si="25"/>
        <v>227201.19839606283</v>
      </c>
      <c r="K65" s="497">
        <f t="shared" si="25"/>
        <v>226486.2077498454</v>
      </c>
      <c r="N65" s="3560"/>
      <c r="O65" s="3562"/>
      <c r="Z65" s="1719" t="s">
        <v>6461</v>
      </c>
      <c r="AA65" s="1721">
        <v>65</v>
      </c>
    </row>
    <row r="66" spans="1:27" ht="13.25" customHeight="1">
      <c r="A66" s="17" t="str">
        <f>$A34</f>
        <v>DCR Mortgage A</v>
      </c>
      <c r="B66" s="20">
        <f t="shared" ref="B66:K66" si="26">IF(B58=0,"",-B57/B58)</f>
        <v>1.2526729623544011</v>
      </c>
      <c r="C66" s="20">
        <f t="shared" si="26"/>
        <v>1.2549631441874023</v>
      </c>
      <c r="D66" s="20">
        <f t="shared" si="26"/>
        <v>1.2566156854389332</v>
      </c>
      <c r="E66" s="20">
        <f t="shared" si="26"/>
        <v>1.257593827495417</v>
      </c>
      <c r="F66" s="20">
        <f t="shared" si="26"/>
        <v>1.2578755616096193</v>
      </c>
      <c r="G66" s="20">
        <f t="shared" si="26"/>
        <v>1.2574109374963092</v>
      </c>
      <c r="H66" s="20">
        <f t="shared" si="26"/>
        <v>1.2561699977261067</v>
      </c>
      <c r="I66" s="20" t="str">
        <f t="shared" si="26"/>
        <v/>
      </c>
      <c r="J66" s="20" t="str">
        <f t="shared" si="26"/>
        <v/>
      </c>
      <c r="K66" s="21" t="str">
        <f t="shared" si="26"/>
        <v/>
      </c>
      <c r="N66" s="3560"/>
      <c r="O66" s="3562"/>
      <c r="Z66" s="1719" t="s">
        <v>6461</v>
      </c>
      <c r="AA66" s="1721">
        <v>66</v>
      </c>
    </row>
    <row r="67" spans="1:27" ht="13.2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9" t="s">
        <v>6461</v>
      </c>
      <c r="AA67" s="1721">
        <v>67</v>
      </c>
    </row>
    <row r="68" spans="1:27" ht="13.2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9" t="s">
        <v>6461</v>
      </c>
      <c r="AA68" s="1721">
        <v>68</v>
      </c>
    </row>
    <row r="69" spans="1:27" ht="13.2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9" t="s">
        <v>6461</v>
      </c>
      <c r="AA69" s="1721">
        <v>69</v>
      </c>
    </row>
    <row r="70" spans="1:27" ht="13.25" customHeight="1">
      <c r="A70" s="341" t="s">
        <v>3213</v>
      </c>
      <c r="B70" s="20">
        <f t="shared" ref="B70:K70" si="30">IF(AND(B58=0,B59=0,B60=0,B61=0),"",-B57/(B58+B59+B60+B61))</f>
        <v>1.2526729623544011</v>
      </c>
      <c r="C70" s="20">
        <f t="shared" si="30"/>
        <v>1.2549631441874023</v>
      </c>
      <c r="D70" s="20">
        <f t="shared" si="30"/>
        <v>1.2566156854389332</v>
      </c>
      <c r="E70" s="20">
        <f t="shared" si="30"/>
        <v>1.257593827495417</v>
      </c>
      <c r="F70" s="20">
        <f t="shared" si="30"/>
        <v>1.2578755616096193</v>
      </c>
      <c r="G70" s="20">
        <f t="shared" si="30"/>
        <v>1.2574109374963092</v>
      </c>
      <c r="H70" s="20">
        <f t="shared" si="30"/>
        <v>1.2561699977261067</v>
      </c>
      <c r="I70" s="20" t="str">
        <f t="shared" si="30"/>
        <v/>
      </c>
      <c r="J70" s="20" t="str">
        <f t="shared" si="30"/>
        <v/>
      </c>
      <c r="K70" s="21" t="str">
        <f t="shared" si="30"/>
        <v/>
      </c>
      <c r="N70" s="3560"/>
      <c r="O70" s="3562"/>
      <c r="Z70" s="1719" t="s">
        <v>6461</v>
      </c>
      <c r="AA70" s="1721">
        <v>70</v>
      </c>
    </row>
    <row r="71" spans="1:27" ht="13.25" customHeight="1">
      <c r="A71" s="17" t="s">
        <v>718</v>
      </c>
      <c r="B71" s="220">
        <f t="shared" ref="B71:K71" si="31">IF(OR(B54="Choose mgt fee",B54="Choose One!"),"",(B47+B48+B49+B50+B51) / -(B53+B54+B55))</f>
        <v>1.5007433004368864</v>
      </c>
      <c r="C71" s="220">
        <f t="shared" si="31"/>
        <v>1.4874735936146795</v>
      </c>
      <c r="D71" s="220">
        <f t="shared" si="31"/>
        <v>1.474309506581867</v>
      </c>
      <c r="E71" s="220">
        <f t="shared" si="31"/>
        <v>1.4612485369767769</v>
      </c>
      <c r="F71" s="220">
        <f t="shared" si="31"/>
        <v>1.4482967331912782</v>
      </c>
      <c r="G71" s="220">
        <f t="shared" si="31"/>
        <v>1.43544594145257</v>
      </c>
      <c r="H71" s="220">
        <f t="shared" si="31"/>
        <v>1.4226993078080044</v>
      </c>
      <c r="I71" s="220">
        <f t="shared" si="31"/>
        <v>1.4100545449259039</v>
      </c>
      <c r="J71" s="220">
        <f t="shared" si="31"/>
        <v>1.3975119870915285</v>
      </c>
      <c r="K71" s="221">
        <f t="shared" si="31"/>
        <v>1.3850718488112788</v>
      </c>
      <c r="N71" s="3560"/>
      <c r="O71" s="3562"/>
      <c r="Z71" s="1719" t="s">
        <v>6461</v>
      </c>
      <c r="AA71" s="1721">
        <v>71</v>
      </c>
    </row>
    <row r="72" spans="1:27" ht="13.25" customHeight="1">
      <c r="A72" s="341" t="s">
        <v>2405</v>
      </c>
      <c r="B72" s="177">
        <f>IF('Part II-Sources of Funds'!$I$40="","",-FV('Part II-Sources of Funds'!$K$40/12,12,B58/12,K40))</f>
        <v>2430103.3909769519</v>
      </c>
      <c r="C72" s="177">
        <f>IF('Part II-Sources of Funds'!$I$40="","",-FV('Part II-Sources of Funds'!$K$40/12,12,C58/12,B72))</f>
        <v>2401123.8728144038</v>
      </c>
      <c r="D72" s="177">
        <f>IF('Part II-Sources of Funds'!$I$40="","",-FV('Part II-Sources of Funds'!$K$40/12,12,D58/12,C72))</f>
        <v>2370184.469936972</v>
      </c>
      <c r="E72" s="177">
        <f>IF('Part II-Sources of Funds'!$I$40="","",-FV('Part II-Sources of Funds'!$K$40/12,12,E58/12,D72))</f>
        <v>2337152.6353480467</v>
      </c>
      <c r="F72" s="177">
        <f>IF('Part II-Sources of Funds'!$I$40="","",-FV('Part II-Sources of Funds'!$K$40/12,12,F58/12,E72))</f>
        <v>2301886.8578980877</v>
      </c>
      <c r="G72" s="177">
        <f>IF('Part II-Sources of Funds'!$I$40="","",-FV('Part II-Sources of Funds'!$K$40/12,12,G58/12,F72))</f>
        <v>2264236.0560389929</v>
      </c>
      <c r="H72" s="177">
        <f>IF('Part II-Sources of Funds'!$I$40="","",-FV('Part II-Sources of Funds'!$K$40/12,12,H58/12,G72))</f>
        <v>2224038.9305780749</v>
      </c>
      <c r="I72" s="177">
        <f>IF('Part II-Sources of Funds'!$I$40="","",-FV('Part II-Sources of Funds'!$K$40/12,12,I58/12,H72))</f>
        <v>2374450.6758975694</v>
      </c>
      <c r="J72" s="177">
        <f>IF('Part II-Sources of Funds'!$I$40="","",-FV('Part II-Sources of Funds'!$K$40/12,12,J58/12,I72))</f>
        <v>2535034.7670420432</v>
      </c>
      <c r="K72" s="177">
        <f>IF('Part II-Sources of Funds'!$I$40="","",-FV('Part II-Sources of Funds'!$K$40/12,12,K58/12,J72))</f>
        <v>2706479.1597250816</v>
      </c>
      <c r="N72" s="3560"/>
      <c r="O72" s="3562"/>
      <c r="Z72" s="1719" t="s">
        <v>6461</v>
      </c>
      <c r="AA72" s="1721">
        <v>72</v>
      </c>
    </row>
    <row r="73" spans="1:27" ht="13.2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6461</v>
      </c>
      <c r="AA73" s="1721">
        <v>73</v>
      </c>
    </row>
    <row r="74" spans="1:27" ht="13.2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6461</v>
      </c>
      <c r="AA74" s="1721">
        <v>74</v>
      </c>
    </row>
    <row r="75" spans="1:27" ht="13.2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6461</v>
      </c>
      <c r="AA75" s="1721">
        <v>75</v>
      </c>
    </row>
    <row r="76" spans="1:27" ht="13.25" customHeight="1">
      <c r="A76" s="341" t="s">
        <v>3362</v>
      </c>
      <c r="B76" s="179">
        <f>IF('Part II-Sources of Funds'!$I$45="","",IF(-FV('Part II-Sources of Funds'!$K$45/12,12,B64/12,K44)&gt;0,-FV('Part II-Sources of Funds'!$K$45/12,12,B64/12,K44),0))</f>
        <v>118524.26666666682</v>
      </c>
      <c r="C76" s="179">
        <f>IF('Part II-Sources of Funds'!$I$45="","",IF(-FV('Part II-Sources of Funds'!$K$45/12,12,C64/12,B76)&gt;0,-FV('Part II-Sources of Funds'!$K$45/12,12,C64/12,B76),0))</f>
        <v>88893.200000000157</v>
      </c>
      <c r="D76" s="179">
        <f>IF('Part II-Sources of Funds'!$I$45="","",IF(-FV('Part II-Sources of Funds'!$K$45/12,12,D64/12,C76)&gt;0,-FV('Part II-Sources of Funds'!$K$45/12,12,D64/12,C76),0))</f>
        <v>59262.133333333491</v>
      </c>
      <c r="E76" s="179">
        <f>IF('Part II-Sources of Funds'!$I$45="","",IF(-FV('Part II-Sources of Funds'!$K$45/12,12,E64/12,D76)&gt;0,-FV('Part II-Sources of Funds'!$K$45/12,12,E64/12,D76),0))</f>
        <v>29631.066666666826</v>
      </c>
      <c r="F76" s="179">
        <f>IF('Part II-Sources of Funds'!$I$45="","",IF(-FV('Part II-Sources of Funds'!$K$45/12,12,F64/12,E76)&gt;0,-FV('Part II-Sources of Funds'!$K$45/12,12,F64/12,E76),0))</f>
        <v>1.6007106751203537E-10</v>
      </c>
      <c r="G76" s="179">
        <f>IF('Part II-Sources of Funds'!$I$45="","",IF(-FV('Part II-Sources of Funds'!$K$45/12,12,G64/12,F76)&gt;0,-FV('Part II-Sources of Funds'!$K$45/12,12,G64/12,F76),0))</f>
        <v>1.6007106751203537E-10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3"/>
      <c r="O76" s="3575"/>
      <c r="Z76" s="1719" t="s">
        <v>6461</v>
      </c>
      <c r="AA76" s="1721">
        <v>76</v>
      </c>
    </row>
    <row r="77" spans="1:27" ht="4.25" customHeight="1">
      <c r="B77" s="13"/>
      <c r="C77" s="13"/>
      <c r="D77" s="13"/>
      <c r="E77" s="13"/>
      <c r="F77" s="13"/>
      <c r="G77" s="13"/>
      <c r="H77" s="13"/>
      <c r="I77" s="13"/>
      <c r="J77" s="13"/>
      <c r="K77" s="13"/>
      <c r="AA77" s="1721">
        <v>77</v>
      </c>
    </row>
    <row r="78" spans="1:27" ht="14.7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25" customHeight="1">
      <c r="A79" s="14" t="s">
        <v>2215</v>
      </c>
      <c r="B79" s="15">
        <f t="shared" ref="B79:K79" si="33">$B$15*(1+$B$6)^(B78-1)</f>
        <v>904977.62688832125</v>
      </c>
      <c r="C79" s="15">
        <f t="shared" si="33"/>
        <v>923077.17942608753</v>
      </c>
      <c r="D79" s="15">
        <f t="shared" si="33"/>
        <v>941538.72301460942</v>
      </c>
      <c r="E79" s="15">
        <f t="shared" si="33"/>
        <v>960369.49747490138</v>
      </c>
      <c r="F79" s="15">
        <f t="shared" si="33"/>
        <v>979576.88742439949</v>
      </c>
      <c r="G79" s="15">
        <f t="shared" si="33"/>
        <v>999168.42517288739</v>
      </c>
      <c r="H79" s="15">
        <f t="shared" si="33"/>
        <v>1019151.7936763453</v>
      </c>
      <c r="I79" s="15">
        <f t="shared" si="33"/>
        <v>1039534.829549872</v>
      </c>
      <c r="J79" s="15">
        <f t="shared" si="33"/>
        <v>1060325.5261408696</v>
      </c>
      <c r="K79" s="16">
        <f t="shared" si="33"/>
        <v>1081532.0366636869</v>
      </c>
      <c r="N79" s="3563"/>
      <c r="O79" s="3565"/>
      <c r="Z79" s="1719" t="s">
        <v>6462</v>
      </c>
      <c r="AA79" s="1721">
        <v>79</v>
      </c>
    </row>
    <row r="80" spans="1:27" ht="13.25" customHeight="1">
      <c r="A80" s="17" t="s">
        <v>952</v>
      </c>
      <c r="B80" s="18">
        <f t="shared" ref="B80:K80" si="34">$B$16*(1+$B$6)^(B78-1)</f>
        <v>18099.552537766423</v>
      </c>
      <c r="C80" s="18">
        <f t="shared" si="34"/>
        <v>18461.543588521752</v>
      </c>
      <c r="D80" s="18">
        <f t="shared" si="34"/>
        <v>18830.774460292188</v>
      </c>
      <c r="E80" s="18">
        <f t="shared" si="34"/>
        <v>19207.389949498029</v>
      </c>
      <c r="F80" s="18">
        <f t="shared" si="34"/>
        <v>19591.53774848799</v>
      </c>
      <c r="G80" s="18">
        <f t="shared" si="34"/>
        <v>19983.368503457747</v>
      </c>
      <c r="H80" s="18">
        <f t="shared" si="34"/>
        <v>20383.035873526904</v>
      </c>
      <c r="I80" s="18">
        <f t="shared" si="34"/>
        <v>20790.696590997439</v>
      </c>
      <c r="J80" s="18">
        <f t="shared" si="34"/>
        <v>21206.510522817392</v>
      </c>
      <c r="K80" s="19">
        <f t="shared" si="34"/>
        <v>21630.640733273736</v>
      </c>
      <c r="N80" s="3560"/>
      <c r="O80" s="3562"/>
      <c r="Z80" s="1719" t="s">
        <v>6462</v>
      </c>
      <c r="AA80" s="1721">
        <v>80</v>
      </c>
    </row>
    <row r="81" spans="1:27" ht="13.25" customHeight="1">
      <c r="A81" s="17" t="s">
        <v>2216</v>
      </c>
      <c r="B81" s="18">
        <f t="shared" ref="B81:K81" si="35">-(B79+B80)*$B$9</f>
        <v>-64615.402559826143</v>
      </c>
      <c r="C81" s="18">
        <f t="shared" si="35"/>
        <v>-65907.71061102266</v>
      </c>
      <c r="D81" s="18">
        <f t="shared" si="35"/>
        <v>-67225.864823243115</v>
      </c>
      <c r="E81" s="18">
        <f t="shared" si="35"/>
        <v>-68570.382119707967</v>
      </c>
      <c r="F81" s="18">
        <f t="shared" si="35"/>
        <v>-69941.789762102126</v>
      </c>
      <c r="G81" s="18">
        <f t="shared" si="35"/>
        <v>-71340.625557344174</v>
      </c>
      <c r="H81" s="18">
        <f t="shared" si="35"/>
        <v>-72767.438068491057</v>
      </c>
      <c r="I81" s="18">
        <f t="shared" si="35"/>
        <v>-74222.786829860866</v>
      </c>
      <c r="J81" s="18">
        <f t="shared" si="35"/>
        <v>-75707.24256645811</v>
      </c>
      <c r="K81" s="19">
        <f t="shared" si="35"/>
        <v>-77221.387417787249</v>
      </c>
      <c r="N81" s="3560"/>
      <c r="O81" s="3562"/>
      <c r="Z81" s="1719" t="s">
        <v>6462</v>
      </c>
      <c r="AA81" s="1721">
        <v>81</v>
      </c>
    </row>
    <row r="82" spans="1:27" ht="13.2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6462</v>
      </c>
      <c r="AA82" s="1721">
        <v>82</v>
      </c>
    </row>
    <row r="83" spans="1:27" ht="13.2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6462</v>
      </c>
      <c r="AA83" s="1721">
        <v>83</v>
      </c>
    </row>
    <row r="84" spans="1:27" ht="13.25" customHeight="1">
      <c r="A84" s="341" t="s">
        <v>3837</v>
      </c>
      <c r="B84" s="18">
        <f t="shared" ref="B84:K84" si="36">SUM(B79:B83)</f>
        <v>858461.7768662615</v>
      </c>
      <c r="C84" s="18">
        <f t="shared" si="36"/>
        <v>875631.01240358665</v>
      </c>
      <c r="D84" s="18">
        <f t="shared" si="36"/>
        <v>893143.6326516585</v>
      </c>
      <c r="E84" s="18">
        <f t="shared" si="36"/>
        <v>911006.50530469138</v>
      </c>
      <c r="F84" s="18">
        <f t="shared" si="36"/>
        <v>929226.63541078544</v>
      </c>
      <c r="G84" s="18">
        <f t="shared" si="36"/>
        <v>947811.16811900097</v>
      </c>
      <c r="H84" s="18">
        <f t="shared" si="36"/>
        <v>966767.39148138114</v>
      </c>
      <c r="I84" s="18">
        <f t="shared" si="36"/>
        <v>986102.73931100848</v>
      </c>
      <c r="J84" s="18">
        <f t="shared" si="36"/>
        <v>1005824.794097229</v>
      </c>
      <c r="K84" s="19">
        <f t="shared" si="36"/>
        <v>1025941.2899791733</v>
      </c>
      <c r="N84" s="3560"/>
      <c r="O84" s="3562"/>
      <c r="Z84" s="1719" t="s">
        <v>6462</v>
      </c>
      <c r="AA84" s="1721">
        <v>84</v>
      </c>
    </row>
    <row r="85" spans="1:27" ht="13.25" customHeight="1">
      <c r="A85" s="17" t="s">
        <v>572</v>
      </c>
      <c r="B85" s="18">
        <f t="shared" ref="B85:K85" si="37">$B$21*(1+$B$7)^(B78-1)</f>
        <v>-552637.52780661639</v>
      </c>
      <c r="C85" s="18">
        <f t="shared" si="37"/>
        <v>-569216.65364081482</v>
      </c>
      <c r="D85" s="18">
        <f t="shared" si="37"/>
        <v>-586293.15325003932</v>
      </c>
      <c r="E85" s="18">
        <f t="shared" si="37"/>
        <v>-603881.94784754049</v>
      </c>
      <c r="F85" s="18">
        <f t="shared" si="37"/>
        <v>-621998.40628296672</v>
      </c>
      <c r="G85" s="18">
        <f t="shared" si="37"/>
        <v>-640658.35847145563</v>
      </c>
      <c r="H85" s="18">
        <f t="shared" si="37"/>
        <v>-659878.10922559944</v>
      </c>
      <c r="I85" s="18">
        <f t="shared" si="37"/>
        <v>-679674.45250236732</v>
      </c>
      <c r="J85" s="18">
        <f t="shared" si="37"/>
        <v>-700064.68607743829</v>
      </c>
      <c r="K85" s="19">
        <f t="shared" si="37"/>
        <v>-721066.62665976142</v>
      </c>
      <c r="N85" s="3560"/>
      <c r="O85" s="3562"/>
      <c r="Z85" s="1719" t="s">
        <v>6462</v>
      </c>
      <c r="AA85" s="1721">
        <v>85</v>
      </c>
    </row>
    <row r="86" spans="1:27" ht="13.25" customHeight="1">
      <c r="A86" s="17" t="s">
        <v>1050</v>
      </c>
      <c r="B86" s="18">
        <f>IF(AND('Part VI-Pro Forma'!$G$9="Yes",'Part VI-Pro Forma'!$G$10="Yes"),"Choose One!",IF('Part VI-Pro Forma'!$G$9="Yes",ROUND((-$K$9*(1+'Part VI-Pro Forma'!$B$7)^('Part VI-Pro Forma'!B78-1)),),IF('Part VI-Pro Forma'!$G$10="Yes",ROUND((-(SUM(B79:B82)*'Part VI-Pro Forma'!$K$10)),),"Choose mgt fee")))</f>
        <v>-51508</v>
      </c>
      <c r="C86" s="18">
        <f>IF(AND('Part VI-Pro Forma'!$G$9="Yes",'Part VI-Pro Forma'!$G$10="Yes"),"Choose One!",IF('Part VI-Pro Forma'!$G$9="Yes",ROUND((-$K$9*(1+'Part VI-Pro Forma'!$B$7)^('Part VI-Pro Forma'!C78-1)),),IF('Part VI-Pro Forma'!$G$10="Yes",ROUND((-(SUM(C79:C82)*'Part VI-Pro Forma'!$K$10)),),"Choose mgt fee")))</f>
        <v>-52538</v>
      </c>
      <c r="D86" s="18">
        <f>IF(AND('Part VI-Pro Forma'!$G$9="Yes",'Part VI-Pro Forma'!$G$10="Yes"),"Choose One!",IF('Part VI-Pro Forma'!$G$9="Yes",ROUND((-$K$9*(1+'Part VI-Pro Forma'!$B$7)^('Part VI-Pro Forma'!D78-1)),),IF('Part VI-Pro Forma'!$G$10="Yes",ROUND((-(SUM(D79:D82)*'Part VI-Pro Forma'!$K$10)),),"Choose mgt fee")))</f>
        <v>-53589</v>
      </c>
      <c r="E86" s="18">
        <f>IF(AND('Part VI-Pro Forma'!$G$9="Yes",'Part VI-Pro Forma'!$G$10="Yes"),"Choose One!",IF('Part VI-Pro Forma'!$G$9="Yes",ROUND((-$K$9*(1+'Part VI-Pro Forma'!$B$7)^('Part VI-Pro Forma'!E78-1)),),IF('Part VI-Pro Forma'!$G$10="Yes",ROUND((-(SUM(E79:E82)*'Part VI-Pro Forma'!$K$10)),),"Choose mgt fee")))</f>
        <v>-54660</v>
      </c>
      <c r="F86" s="18">
        <f>IF(AND('Part VI-Pro Forma'!$G$9="Yes",'Part VI-Pro Forma'!$G$10="Yes"),"Choose One!",IF('Part VI-Pro Forma'!$G$9="Yes",ROUND((-$K$9*(1+'Part VI-Pro Forma'!$B$7)^('Part VI-Pro Forma'!F78-1)),),IF('Part VI-Pro Forma'!$G$10="Yes",ROUND((-(SUM(F79:F82)*'Part VI-Pro Forma'!$K$10)),),"Choose mgt fee")))</f>
        <v>-55754</v>
      </c>
      <c r="G86" s="18">
        <f>IF(AND('Part VI-Pro Forma'!$G$9="Yes",'Part VI-Pro Forma'!$G$10="Yes"),"Choose One!",IF('Part VI-Pro Forma'!$G$9="Yes",ROUND((-$K$9*(1+'Part VI-Pro Forma'!$B$7)^('Part VI-Pro Forma'!G78-1)),),IF('Part VI-Pro Forma'!$G$10="Yes",ROUND((-(SUM(G79:G82)*'Part VI-Pro Forma'!$K$10)),),"Choose mgt fee")))</f>
        <v>-56869</v>
      </c>
      <c r="H86" s="18">
        <f>IF(AND('Part VI-Pro Forma'!$G$9="Yes",'Part VI-Pro Forma'!$G$10="Yes"),"Choose One!",IF('Part VI-Pro Forma'!$G$9="Yes",ROUND((-$K$9*(1+'Part VI-Pro Forma'!$B$7)^('Part VI-Pro Forma'!H78-1)),),IF('Part VI-Pro Forma'!$G$10="Yes",ROUND((-(SUM(H79:H82)*'Part VI-Pro Forma'!$K$10)),),"Choose mgt fee")))</f>
        <v>-58006</v>
      </c>
      <c r="I86" s="18">
        <f>IF(AND('Part VI-Pro Forma'!$G$9="Yes",'Part VI-Pro Forma'!$G$10="Yes"),"Choose One!",IF('Part VI-Pro Forma'!$G$9="Yes",ROUND((-$K$9*(1+'Part VI-Pro Forma'!$B$7)^('Part VI-Pro Forma'!I78-1)),),IF('Part VI-Pro Forma'!$G$10="Yes",ROUND((-(SUM(I79:I82)*'Part VI-Pro Forma'!$K$10)),),"Choose mgt fee")))</f>
        <v>-59166</v>
      </c>
      <c r="J86" s="18">
        <f>IF(AND('Part VI-Pro Forma'!$G$9="Yes",'Part VI-Pro Forma'!$G$10="Yes"),"Choose One!",IF('Part VI-Pro Forma'!$G$9="Yes",ROUND((-$K$9*(1+'Part VI-Pro Forma'!$B$7)^('Part VI-Pro Forma'!J78-1)),),IF('Part VI-Pro Forma'!$G$10="Yes",ROUND((-(SUM(J79:J82)*'Part VI-Pro Forma'!$K$10)),),"Choose mgt fee")))</f>
        <v>-60349</v>
      </c>
      <c r="K86" s="19">
        <f>IF(AND('Part VI-Pro Forma'!$G$9="Yes",'Part VI-Pro Forma'!$G$10="Yes"),"Choose One!",IF('Part VI-Pro Forma'!$G$9="Yes",ROUND((-$K$9*(1+'Part VI-Pro Forma'!$B$7)^('Part VI-Pro Forma'!K78-1)),),IF('Part VI-Pro Forma'!$G$10="Yes",ROUND((-(SUM(K79:K82)*'Part VI-Pro Forma'!$K$10)),),"Choose mgt fee")))</f>
        <v>-61556</v>
      </c>
      <c r="N86" s="3560"/>
      <c r="O86" s="3562"/>
      <c r="Z86" s="1719" t="s">
        <v>6462</v>
      </c>
      <c r="AA86" s="1721">
        <v>86</v>
      </c>
    </row>
    <row r="87" spans="1:27" ht="13.25" customHeight="1">
      <c r="A87" s="17" t="s">
        <v>1128</v>
      </c>
      <c r="B87" s="18">
        <f t="shared" ref="B87:K87" si="38">$B$23*(1+$B$8)^(B78-1)</f>
        <v>-21221.807007365605</v>
      </c>
      <c r="C87" s="18">
        <f t="shared" si="38"/>
        <v>-21858.46121758657</v>
      </c>
      <c r="D87" s="18">
        <f t="shared" si="38"/>
        <v>-22514.215054114171</v>
      </c>
      <c r="E87" s="18">
        <f t="shared" si="38"/>
        <v>-23189.641505737596</v>
      </c>
      <c r="F87" s="18">
        <f t="shared" si="38"/>
        <v>-23885.330750909721</v>
      </c>
      <c r="G87" s="18">
        <f t="shared" si="38"/>
        <v>-24601.890673437014</v>
      </c>
      <c r="H87" s="18">
        <f t="shared" si="38"/>
        <v>-25339.947393640126</v>
      </c>
      <c r="I87" s="18">
        <f t="shared" si="38"/>
        <v>-26100.145815449327</v>
      </c>
      <c r="J87" s="18">
        <f t="shared" si="38"/>
        <v>-26883.150189912809</v>
      </c>
      <c r="K87" s="19">
        <f t="shared" si="38"/>
        <v>-27689.64469561019</v>
      </c>
      <c r="N87" s="3560"/>
      <c r="O87" s="3562"/>
      <c r="Q87" s="92"/>
      <c r="R87" s="869"/>
      <c r="S87" s="869"/>
      <c r="Z87" s="1719" t="s">
        <v>6462</v>
      </c>
      <c r="AA87" s="1721">
        <v>87</v>
      </c>
    </row>
    <row r="88" spans="1:27" ht="13.2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6462</v>
      </c>
      <c r="AA88" s="1721">
        <v>88</v>
      </c>
    </row>
    <row r="89" spans="1:27" ht="13.25" customHeight="1">
      <c r="A89" s="17" t="s">
        <v>1129</v>
      </c>
      <c r="B89" s="18">
        <f t="shared" ref="B89:K89" si="39">SUM(B84:B88)</f>
        <v>233094.44205227951</v>
      </c>
      <c r="C89" s="18">
        <f t="shared" si="39"/>
        <v>232017.89754518526</v>
      </c>
      <c r="D89" s="18">
        <f t="shared" si="39"/>
        <v>230747.264347505</v>
      </c>
      <c r="E89" s="18">
        <f t="shared" si="39"/>
        <v>229274.91595141331</v>
      </c>
      <c r="F89" s="18">
        <f t="shared" si="39"/>
        <v>227588.898376909</v>
      </c>
      <c r="G89" s="18">
        <f t="shared" si="39"/>
        <v>225681.91897410832</v>
      </c>
      <c r="H89" s="18">
        <f t="shared" si="39"/>
        <v>223543.33486214158</v>
      </c>
      <c r="I89" s="18">
        <f t="shared" si="39"/>
        <v>221162.14099319183</v>
      </c>
      <c r="J89" s="18">
        <f t="shared" si="39"/>
        <v>218527.95782987791</v>
      </c>
      <c r="K89" s="1215">
        <f t="shared" si="39"/>
        <v>215629.01862380173</v>
      </c>
      <c r="N89" s="3560"/>
      <c r="O89" s="3562"/>
      <c r="Z89" s="1719" t="s">
        <v>6462</v>
      </c>
      <c r="AA89" s="1721">
        <v>89</v>
      </c>
    </row>
    <row r="90" spans="1:27" ht="13.25" customHeight="1">
      <c r="A90" s="17" t="str">
        <f>$A58</f>
        <v>Mortgage A</v>
      </c>
      <c r="B90" s="342"/>
      <c r="C90" s="342"/>
      <c r="D90" s="342"/>
      <c r="E90" s="342"/>
      <c r="F90" s="342"/>
      <c r="G90" s="342"/>
      <c r="H90" s="342"/>
      <c r="I90" s="342"/>
      <c r="J90" s="342"/>
      <c r="K90" s="342"/>
      <c r="N90" s="3560"/>
      <c r="O90" s="3562"/>
      <c r="Z90" s="1719" t="s">
        <v>6462</v>
      </c>
      <c r="AA90" s="1721">
        <v>90</v>
      </c>
    </row>
    <row r="91" spans="1:27" ht="13.2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6462</v>
      </c>
      <c r="AA91" s="1721">
        <v>91</v>
      </c>
    </row>
    <row r="92" spans="1:27" ht="13.2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6462</v>
      </c>
      <c r="AA92" s="1721">
        <v>92</v>
      </c>
    </row>
    <row r="93" spans="1:27" ht="13.2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6462</v>
      </c>
      <c r="AA93" s="1721">
        <v>93</v>
      </c>
    </row>
    <row r="94" spans="1:27" ht="13.25" customHeight="1">
      <c r="A94" s="17" t="s">
        <v>711</v>
      </c>
      <c r="B94" s="138"/>
      <c r="C94" s="138"/>
      <c r="D94" s="138"/>
      <c r="E94" s="138"/>
      <c r="F94" s="138"/>
      <c r="G94" s="138"/>
      <c r="H94" s="138"/>
      <c r="I94" s="138"/>
      <c r="J94" s="138"/>
      <c r="K94" s="138"/>
      <c r="N94" s="3560"/>
      <c r="O94" s="3562"/>
      <c r="Z94" s="1719" t="s">
        <v>6462</v>
      </c>
      <c r="AA94" s="1721">
        <v>94</v>
      </c>
    </row>
    <row r="95" spans="1:27" ht="13.2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60"/>
      <c r="O95" s="3562"/>
      <c r="Z95" s="1719" t="s">
        <v>6462</v>
      </c>
      <c r="AA95" s="1721">
        <v>95</v>
      </c>
    </row>
    <row r="96" spans="1:27" ht="13.25" customHeight="1">
      <c r="A96" s="17" t="s">
        <v>1096</v>
      </c>
      <c r="B96" s="18">
        <f t="shared" ref="B96:K96" si="41">SUM(B89:B95)</f>
        <v>225594.44205227951</v>
      </c>
      <c r="C96" s="18">
        <f t="shared" si="41"/>
        <v>224517.89754518526</v>
      </c>
      <c r="D96" s="18">
        <f t="shared" si="41"/>
        <v>223247.264347505</v>
      </c>
      <c r="E96" s="18">
        <f t="shared" si="41"/>
        <v>221774.91595141331</v>
      </c>
      <c r="F96" s="18">
        <f t="shared" si="41"/>
        <v>220088.898376909</v>
      </c>
      <c r="G96" s="18">
        <f t="shared" si="41"/>
        <v>218181.91897410832</v>
      </c>
      <c r="H96" s="18">
        <f t="shared" si="41"/>
        <v>216043.33486214158</v>
      </c>
      <c r="I96" s="18">
        <f t="shared" si="41"/>
        <v>213662.14099319183</v>
      </c>
      <c r="J96" s="18">
        <f t="shared" si="41"/>
        <v>211027.95782987791</v>
      </c>
      <c r="K96" s="19">
        <f t="shared" si="41"/>
        <v>208129.01862380173</v>
      </c>
      <c r="N96" s="3560"/>
      <c r="O96" s="3562"/>
      <c r="Z96" s="1719" t="s">
        <v>6462</v>
      </c>
      <c r="AA96" s="1721">
        <v>96</v>
      </c>
    </row>
    <row r="97" spans="1:27" ht="13.2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60"/>
      <c r="O97" s="3562"/>
      <c r="Z97" s="1719" t="s">
        <v>6462</v>
      </c>
      <c r="AA97" s="1721">
        <v>97</v>
      </c>
    </row>
    <row r="98" spans="1:27" ht="13.2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6462</v>
      </c>
      <c r="AA98" s="1721">
        <v>98</v>
      </c>
    </row>
    <row r="99" spans="1:27" ht="13.2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6462</v>
      </c>
      <c r="AA99" s="1721">
        <v>99</v>
      </c>
    </row>
    <row r="100" spans="1:27" ht="13.2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6462</v>
      </c>
      <c r="AA100" s="1721">
        <v>100</v>
      </c>
    </row>
    <row r="101" spans="1:27" ht="13.25" customHeight="1">
      <c r="A101" s="341" t="s">
        <v>3213</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60"/>
      <c r="O101" s="3562"/>
      <c r="Z101" s="1719" t="s">
        <v>6462</v>
      </c>
      <c r="AA101" s="1721">
        <v>101</v>
      </c>
    </row>
    <row r="102" spans="1:27" ht="13.25" customHeight="1">
      <c r="A102" s="17" t="s">
        <v>718</v>
      </c>
      <c r="B102" s="220">
        <f>IF(OR(B86="Choose mgt fee",B86="Choose One!"),"",(B79+B80+B81+B82+B83) / -(B85+B86+B87))</f>
        <v>1.3727320393566995</v>
      </c>
      <c r="C102" s="220">
        <f t="shared" ref="C102:K102" si="47">IF(OR(C86="Choose mgt fee",C86="Choose One!"),"",(C79+C80+C81+C82+C83) / -(C85+C86+C87))</f>
        <v>1.3604928056760164</v>
      </c>
      <c r="D102" s="220">
        <f t="shared" si="47"/>
        <v>1.3483522485762671</v>
      </c>
      <c r="E102" s="220">
        <f t="shared" si="47"/>
        <v>1.3363125891949852</v>
      </c>
      <c r="F102" s="220">
        <f t="shared" si="47"/>
        <v>1.3243680981855748</v>
      </c>
      <c r="G102" s="220">
        <f t="shared" si="47"/>
        <v>1.3125228887229661</v>
      </c>
      <c r="H102" s="220">
        <f t="shared" si="47"/>
        <v>1.3007751604260367</v>
      </c>
      <c r="I102" s="220">
        <f t="shared" si="47"/>
        <v>1.2891232881083188</v>
      </c>
      <c r="J102" s="220">
        <f t="shared" si="47"/>
        <v>1.277567427891543</v>
      </c>
      <c r="K102" s="221">
        <f t="shared" si="47"/>
        <v>1.2661060757023082</v>
      </c>
      <c r="N102" s="3560"/>
      <c r="O102" s="3562"/>
      <c r="Z102" s="1719" t="s">
        <v>6462</v>
      </c>
      <c r="AA102" s="1721">
        <v>102</v>
      </c>
    </row>
    <row r="103" spans="1:27" ht="13.25" customHeight="1">
      <c r="A103" s="341" t="s">
        <v>2405</v>
      </c>
      <c r="B103" s="177">
        <f>IF('Part II-Sources of Funds'!$I$40="","",-FV('Part II-Sources of Funds'!$K$40/12,12,B90/12,K72))</f>
        <v>2889518.3361028433</v>
      </c>
      <c r="C103" s="177">
        <f>IF('Part II-Sources of Funds'!$I$40="","",-FV('Part II-Sources of Funds'!$K$40/12,12,C90/12,B103))</f>
        <v>3084936.4513572128</v>
      </c>
      <c r="D103" s="177">
        <f>IF('Part II-Sources of Funds'!$I$40="","",-FV('Part II-Sources of Funds'!$K$40/12,12,D90/12,C103))</f>
        <v>3293570.693082361</v>
      </c>
      <c r="E103" s="177">
        <f>IF('Part II-Sources of Funds'!$I$40="","",-FV('Part II-Sources of Funds'!$K$40/12,12,E90/12,D103))</f>
        <v>3516314.8678666092</v>
      </c>
      <c r="F103" s="177">
        <f>IF('Part II-Sources of Funds'!$I$40="","",-FV('Part II-Sources of Funds'!$K$40/12,12,F90/12,E103))</f>
        <v>3754123.2304348103</v>
      </c>
      <c r="G103" s="177">
        <f>IF('Part II-Sources of Funds'!$I$40="","",-FV('Part II-Sources of Funds'!$K$40/12,12,G90/12,F103))</f>
        <v>4008014.5717556165</v>
      </c>
      <c r="H103" s="177">
        <f>IF('Part II-Sources of Funds'!$I$40="","",-FV('Part II-Sources of Funds'!$K$40/12,12,H90/12,G103))</f>
        <v>4279076.5836274298</v>
      </c>
      <c r="I103" s="177">
        <f>IF('Part II-Sources of Funds'!$I$40="","",-FV('Part II-Sources of Funds'!$K$40/12,12,I90/12,H103))</f>
        <v>4568470.5184412822</v>
      </c>
      <c r="J103" s="177">
        <f>IF('Part II-Sources of Funds'!$I$40="","",-FV('Part II-Sources of Funds'!$K$40/12,12,J90/12,I103))</f>
        <v>4877436.1640834669</v>
      </c>
      <c r="K103" s="177">
        <f>IF('Part II-Sources of Funds'!$I$40="","",-FV('Part II-Sources of Funds'!$K$40/12,12,K90/12,J103))</f>
        <v>5207297.155290815</v>
      </c>
      <c r="N103" s="3560"/>
      <c r="O103" s="3562"/>
      <c r="Z103" s="1719" t="s">
        <v>6462</v>
      </c>
      <c r="AA103" s="1721">
        <v>103</v>
      </c>
    </row>
    <row r="104" spans="1:27" ht="13.2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6462</v>
      </c>
      <c r="AA104" s="1721">
        <v>104</v>
      </c>
    </row>
    <row r="105" spans="1:27" ht="13.2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6462</v>
      </c>
      <c r="AA105" s="1721">
        <v>105</v>
      </c>
    </row>
    <row r="106" spans="1:27" ht="13.2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3"/>
      <c r="O106" s="3575"/>
      <c r="Z106" s="1719" t="s">
        <v>6462</v>
      </c>
      <c r="AA106" s="1721">
        <v>106</v>
      </c>
    </row>
    <row r="107" spans="1:27" ht="4.25" customHeight="1">
      <c r="B107" s="13"/>
      <c r="C107" s="13"/>
      <c r="D107" s="13"/>
      <c r="E107" s="13"/>
      <c r="F107" s="13"/>
      <c r="G107" s="13"/>
      <c r="H107" s="13"/>
      <c r="I107" s="13"/>
      <c r="J107" s="13"/>
      <c r="K107" s="13"/>
      <c r="AA107" s="1721">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25" customHeight="1">
      <c r="A109" s="14" t="s">
        <v>2215</v>
      </c>
      <c r="B109" s="15">
        <f>$B$15*(1+$B$6)^(B108-1)</f>
        <v>1103162.6773969608</v>
      </c>
      <c r="C109" s="15">
        <f>$B$15*(1+$B$6)^(C108-1)</f>
        <v>1125225.9309448998</v>
      </c>
      <c r="D109" s="15">
        <f>$B$15*(1+$B$6)^(D108-1)</f>
        <v>1147730.449563798</v>
      </c>
      <c r="E109" s="15">
        <f>$B$15*(1+$B$6)^(E108-1)</f>
        <v>1170685.058555074</v>
      </c>
      <c r="F109" s="497">
        <f>$B$15*(1+$B$6)^(F108-1)</f>
        <v>1194098.7597261753</v>
      </c>
      <c r="G109" s="13"/>
      <c r="H109" s="13"/>
      <c r="I109" s="13"/>
      <c r="J109" s="13"/>
      <c r="K109" s="13"/>
      <c r="N109" s="3563"/>
      <c r="O109" s="3565"/>
      <c r="Z109" s="1719" t="s">
        <v>6463</v>
      </c>
      <c r="AA109" s="1721">
        <v>109</v>
      </c>
    </row>
    <row r="110" spans="1:27" ht="13.25" customHeight="1">
      <c r="A110" s="17" t="s">
        <v>952</v>
      </c>
      <c r="B110" s="18">
        <f>$B$16*(1+$B$6)^(B108-1)</f>
        <v>22063.253547939214</v>
      </c>
      <c r="C110" s="18">
        <f>$B$16*(1+$B$6)^(C108-1)</f>
        <v>22504.518618897993</v>
      </c>
      <c r="D110" s="18">
        <f>$B$16*(1+$B$6)^(D108-1)</f>
        <v>22954.608991275956</v>
      </c>
      <c r="E110" s="18">
        <f>$B$16*(1+$B$6)^(E108-1)</f>
        <v>23413.701171101478</v>
      </c>
      <c r="F110" s="19">
        <f>$B$16*(1+$B$6)^(F108-1)</f>
        <v>23881.975194523508</v>
      </c>
      <c r="G110" s="13"/>
      <c r="H110" s="13"/>
      <c r="I110" s="13"/>
      <c r="J110" s="13"/>
      <c r="K110" s="13"/>
      <c r="N110" s="3560"/>
      <c r="O110" s="3562"/>
      <c r="Z110" s="1719" t="s">
        <v>6463</v>
      </c>
      <c r="AA110" s="1721">
        <v>110</v>
      </c>
    </row>
    <row r="111" spans="1:27" ht="13.25" customHeight="1">
      <c r="A111" s="17" t="s">
        <v>2216</v>
      </c>
      <c r="B111" s="18">
        <f>-(B109+B110)*$B$9</f>
        <v>-78765.815166143017</v>
      </c>
      <c r="C111" s="18">
        <f>-(C109+C110)*$B$9</f>
        <v>-80341.13146946585</v>
      </c>
      <c r="D111" s="18">
        <f>-(D109+D110)*$B$9</f>
        <v>-81947.954098855189</v>
      </c>
      <c r="E111" s="18">
        <f>-(E109+E110)*$B$9</f>
        <v>-83586.9131808323</v>
      </c>
      <c r="F111" s="19">
        <f>-(F109+F110)*$B$9</f>
        <v>-85258.651444448929</v>
      </c>
      <c r="G111" s="13"/>
      <c r="H111" s="13"/>
      <c r="I111" s="13"/>
      <c r="J111" s="13"/>
      <c r="K111" s="13"/>
      <c r="N111" s="3560"/>
      <c r="O111" s="3562"/>
      <c r="Z111" s="1719" t="s">
        <v>6463</v>
      </c>
      <c r="AA111" s="1721">
        <v>111</v>
      </c>
    </row>
    <row r="112" spans="1:27" ht="13.2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6463</v>
      </c>
      <c r="AA112" s="1721">
        <v>112</v>
      </c>
    </row>
    <row r="113" spans="1:27" ht="13.2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6463</v>
      </c>
      <c r="AA113" s="1721">
        <v>113</v>
      </c>
    </row>
    <row r="114" spans="1:27" ht="13.25" customHeight="1">
      <c r="A114" s="341" t="s">
        <v>3837</v>
      </c>
      <c r="B114" s="18">
        <f>SUM(B109:B113)</f>
        <v>1046460.115778757</v>
      </c>
      <c r="C114" s="18">
        <f>SUM(C109:C113)</f>
        <v>1067389.318094332</v>
      </c>
      <c r="D114" s="18">
        <f>SUM(D109:D113)</f>
        <v>1088737.1044562189</v>
      </c>
      <c r="E114" s="18">
        <f>SUM(E109:E113)</f>
        <v>1110511.8465453433</v>
      </c>
      <c r="F114" s="19">
        <f>SUM(F109:F113)</f>
        <v>1132722.0834762501</v>
      </c>
      <c r="G114" s="13"/>
      <c r="H114" s="13"/>
      <c r="I114" s="13"/>
      <c r="J114" s="13"/>
      <c r="K114" s="13"/>
      <c r="N114" s="3560"/>
      <c r="O114" s="3562"/>
      <c r="Z114" s="1719" t="s">
        <v>6463</v>
      </c>
      <c r="AA114" s="1721">
        <v>114</v>
      </c>
    </row>
    <row r="115" spans="1:27" ht="13.25" customHeight="1">
      <c r="A115" s="17" t="s">
        <v>572</v>
      </c>
      <c r="B115" s="18">
        <f>$B$21*(1+$B$7)^(B108-1)</f>
        <v>-742698.62545955426</v>
      </c>
      <c r="C115" s="18">
        <f>$B$21*(1+$B$7)^(C108-1)</f>
        <v>-764979.58422334108</v>
      </c>
      <c r="D115" s="18">
        <f>$B$21*(1+$B$7)^(D108-1)</f>
        <v>-787928.97175004112</v>
      </c>
      <c r="E115" s="18">
        <f>$B$21*(1+$B$7)^(E108-1)</f>
        <v>-811566.84090254235</v>
      </c>
      <c r="F115" s="19">
        <f>$B$21*(1+$B$7)^(F108-1)</f>
        <v>-835913.84612961847</v>
      </c>
      <c r="G115" s="13"/>
      <c r="H115" s="13"/>
      <c r="I115" s="13"/>
      <c r="J115" s="13"/>
      <c r="K115" s="13"/>
      <c r="N115" s="3560"/>
      <c r="O115" s="3562"/>
      <c r="Z115" s="1719" t="s">
        <v>6463</v>
      </c>
      <c r="AA115" s="1721">
        <v>115</v>
      </c>
    </row>
    <row r="116" spans="1:27" ht="13.25" customHeight="1">
      <c r="A116" s="17" t="s">
        <v>1050</v>
      </c>
      <c r="B116" s="18">
        <f>IF(AND('Part VI-Pro Forma'!$G$9="Yes",'Part VI-Pro Forma'!$G$10="Yes"),"Choose One!",IF('Part VI-Pro Forma'!$G$9="Yes",ROUND((-$K$9*(1+'Part VI-Pro Forma'!$B$7)^('Part VI-Pro Forma'!B108-1)),),IF('Part VI-Pro Forma'!$G$10="Yes",ROUND((-(SUM(B109:B112)*'Part VI-Pro Forma'!$K$10)),),"Choose mgt fee")))</f>
        <v>-62788</v>
      </c>
      <c r="C116" s="18">
        <f>IF(AND('Part VI-Pro Forma'!$G$9="Yes",'Part VI-Pro Forma'!$G$10="Yes"),"Choose One!",IF('Part VI-Pro Forma'!$G$9="Yes",ROUND((-$K$9*(1+'Part VI-Pro Forma'!$B$7)^('Part VI-Pro Forma'!C108-1)),),IF('Part VI-Pro Forma'!$G$10="Yes",ROUND((-(SUM(C109:C112)*'Part VI-Pro Forma'!$K$10)),),"Choose mgt fee")))</f>
        <v>-64043</v>
      </c>
      <c r="D116" s="18">
        <f>IF(AND('Part VI-Pro Forma'!$G$9="Yes",'Part VI-Pro Forma'!$G$10="Yes"),"Choose One!",IF('Part VI-Pro Forma'!$G$9="Yes",ROUND((-$K$9*(1+'Part VI-Pro Forma'!$B$7)^('Part VI-Pro Forma'!D108-1)),),IF('Part VI-Pro Forma'!$G$10="Yes",ROUND((-(SUM(D109:D112)*'Part VI-Pro Forma'!$K$10)),),"Choose mgt fee")))</f>
        <v>-65324</v>
      </c>
      <c r="E116" s="18">
        <f>IF(AND('Part VI-Pro Forma'!$G$9="Yes",'Part VI-Pro Forma'!$G$10="Yes"),"Choose One!",IF('Part VI-Pro Forma'!$G$9="Yes",ROUND((-$K$9*(1+'Part VI-Pro Forma'!$B$7)^('Part VI-Pro Forma'!E108-1)),),IF('Part VI-Pro Forma'!$G$10="Yes",ROUND((-(SUM(E109:E112)*'Part VI-Pro Forma'!$K$10)),),"Choose mgt fee")))</f>
        <v>-66631</v>
      </c>
      <c r="F116" s="19">
        <f>IF(AND('Part VI-Pro Forma'!$G$9="Yes",'Part VI-Pro Forma'!$G$10="Yes"),"Choose One!",IF('Part VI-Pro Forma'!$G$9="Yes",ROUND((-$K$9*(1+'Part VI-Pro Forma'!$B$7)^('Part VI-Pro Forma'!F108-1)),),IF('Part VI-Pro Forma'!$G$10="Yes",ROUND((-(SUM(F109:F112)*'Part VI-Pro Forma'!$K$10)),),"Choose mgt fee")))</f>
        <v>-67963</v>
      </c>
      <c r="G116" s="13"/>
      <c r="H116" s="13"/>
      <c r="I116" s="13"/>
      <c r="J116" s="13"/>
      <c r="K116" s="13"/>
      <c r="N116" s="3560"/>
      <c r="O116" s="3562"/>
      <c r="Z116" s="1719" t="s">
        <v>6463</v>
      </c>
      <c r="AA116" s="1721">
        <v>116</v>
      </c>
    </row>
    <row r="117" spans="1:27" ht="13.25" customHeight="1">
      <c r="A117" s="17" t="s">
        <v>1128</v>
      </c>
      <c r="B117" s="18">
        <f>$B$23*(1+$B$8)^(B108-1)</f>
        <v>-28520.334036478493</v>
      </c>
      <c r="C117" s="18">
        <f>$B$23*(1+$B$8)^(C108-1)</f>
        <v>-29375.944057572855</v>
      </c>
      <c r="D117" s="18">
        <f>$B$23*(1+$B$8)^(D108-1)</f>
        <v>-30257.222379300034</v>
      </c>
      <c r="E117" s="18">
        <f>$B$23*(1+$B$8)^(E108-1)</f>
        <v>-31164.939050679037</v>
      </c>
      <c r="F117" s="19">
        <f>$B$23*(1+$B$8)^(F108-1)</f>
        <v>-32099.887222199402</v>
      </c>
      <c r="G117" s="13"/>
      <c r="H117" s="13"/>
      <c r="I117" s="13"/>
      <c r="J117" s="13"/>
      <c r="K117" s="13"/>
      <c r="N117" s="3560"/>
      <c r="O117" s="3562"/>
      <c r="Q117" s="92">
        <v>10</v>
      </c>
      <c r="R117" s="869">
        <f>-SUM(B123:K123)</f>
        <v>0</v>
      </c>
      <c r="S117" s="869">
        <f>SUM(B124:K124)+R117</f>
        <v>0</v>
      </c>
      <c r="Z117" s="1719" t="s">
        <v>6463</v>
      </c>
      <c r="AA117" s="1721">
        <v>117</v>
      </c>
    </row>
    <row r="118" spans="1:27" ht="13.2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6463</v>
      </c>
      <c r="AA118" s="1721">
        <v>118</v>
      </c>
    </row>
    <row r="119" spans="1:27" ht="13.25" customHeight="1">
      <c r="A119" s="17" t="s">
        <v>1129</v>
      </c>
      <c r="B119" s="18">
        <f>SUM(B114:B118)</f>
        <v>212453.15628272429</v>
      </c>
      <c r="C119" s="18">
        <f>SUM(C114:C118)</f>
        <v>208990.78981341806</v>
      </c>
      <c r="D119" s="18">
        <f>SUM(D114:D118)</f>
        <v>205226.91032687773</v>
      </c>
      <c r="E119" s="18">
        <f>SUM(E114:E118)</f>
        <v>201149.0665921219</v>
      </c>
      <c r="F119" s="1215">
        <f>SUM(F114:F118)</f>
        <v>196745.35012443218</v>
      </c>
      <c r="G119" s="13"/>
      <c r="H119" s="13"/>
      <c r="I119" s="13"/>
      <c r="J119" s="13"/>
      <c r="K119" s="13"/>
      <c r="N119" s="3560"/>
      <c r="O119" s="3562"/>
      <c r="Z119" s="1719" t="s">
        <v>6463</v>
      </c>
      <c r="AA119" s="1721">
        <v>119</v>
      </c>
    </row>
    <row r="120" spans="1:27" ht="13.25" customHeight="1">
      <c r="A120" s="17" t="str">
        <f>$A90</f>
        <v>Mortgage A</v>
      </c>
      <c r="B120" s="342"/>
      <c r="C120" s="342"/>
      <c r="D120" s="342"/>
      <c r="E120" s="342"/>
      <c r="F120" s="342"/>
      <c r="G120" s="13"/>
      <c r="H120" s="13"/>
      <c r="I120" s="13"/>
      <c r="J120" s="13"/>
      <c r="K120" s="13"/>
      <c r="N120" s="3560"/>
      <c r="O120" s="3562"/>
      <c r="Z120" s="1719" t="s">
        <v>6463</v>
      </c>
      <c r="AA120" s="1721">
        <v>120</v>
      </c>
    </row>
    <row r="121" spans="1:27" ht="13.2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6463</v>
      </c>
      <c r="AA121" s="1721">
        <v>121</v>
      </c>
    </row>
    <row r="122" spans="1:27" ht="13.2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6463</v>
      </c>
      <c r="AA122" s="1721">
        <v>122</v>
      </c>
    </row>
    <row r="123" spans="1:27" ht="13.2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6463</v>
      </c>
      <c r="AA123" s="1721">
        <v>123</v>
      </c>
    </row>
    <row r="124" spans="1:27" ht="13.25" customHeight="1">
      <c r="A124" s="17" t="s">
        <v>711</v>
      </c>
      <c r="B124" s="138"/>
      <c r="C124" s="138"/>
      <c r="D124" s="138"/>
      <c r="E124" s="138"/>
      <c r="F124" s="138"/>
      <c r="G124" s="13"/>
      <c r="H124" s="13"/>
      <c r="I124" s="13"/>
      <c r="J124" s="13"/>
      <c r="K124" s="13"/>
      <c r="N124" s="3560"/>
      <c r="O124" s="3562"/>
      <c r="Z124" s="1719" t="s">
        <v>6463</v>
      </c>
      <c r="AA124" s="1721">
        <v>124</v>
      </c>
    </row>
    <row r="125" spans="1:27" ht="13.25" customHeight="1">
      <c r="A125" s="17" t="s">
        <v>1095</v>
      </c>
      <c r="B125" s="179">
        <f>+K95</f>
        <v>-7500</v>
      </c>
      <c r="C125" s="179">
        <f>+B125</f>
        <v>-7500</v>
      </c>
      <c r="D125" s="179">
        <f>+C125</f>
        <v>-7500</v>
      </c>
      <c r="E125" s="179">
        <f>+D125</f>
        <v>-7500</v>
      </c>
      <c r="F125" s="179">
        <f>+E125</f>
        <v>-7500</v>
      </c>
      <c r="G125" s="13"/>
      <c r="H125" s="13"/>
      <c r="I125" s="13"/>
      <c r="J125" s="13"/>
      <c r="K125" s="13"/>
      <c r="N125" s="3560"/>
      <c r="O125" s="3562"/>
      <c r="Z125" s="1719" t="s">
        <v>6463</v>
      </c>
      <c r="AA125" s="1721">
        <v>125</v>
      </c>
    </row>
    <row r="126" spans="1:27" ht="13.25" customHeight="1">
      <c r="A126" s="17" t="s">
        <v>1096</v>
      </c>
      <c r="B126" s="18">
        <f>SUM(B119:B125)</f>
        <v>204953.15628272429</v>
      </c>
      <c r="C126" s="18">
        <f>SUM(C119:C125)</f>
        <v>201490.78981341806</v>
      </c>
      <c r="D126" s="18">
        <f>SUM(D119:D125)</f>
        <v>197726.91032687773</v>
      </c>
      <c r="E126" s="18">
        <f>SUM(E119:E125)</f>
        <v>193649.0665921219</v>
      </c>
      <c r="F126" s="19">
        <f>SUM(F119:F125)</f>
        <v>189245.35012443218</v>
      </c>
      <c r="G126" s="13"/>
      <c r="H126" s="13"/>
      <c r="I126" s="13"/>
      <c r="J126" s="13"/>
      <c r="K126" s="13"/>
      <c r="N126" s="3560"/>
      <c r="O126" s="3562"/>
      <c r="Z126" s="1719" t="s">
        <v>6463</v>
      </c>
      <c r="AA126" s="1721">
        <v>126</v>
      </c>
    </row>
    <row r="127" spans="1:27" ht="13.2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60"/>
      <c r="O127" s="3562"/>
      <c r="Z127" s="1719" t="s">
        <v>6463</v>
      </c>
      <c r="AA127" s="1721">
        <v>127</v>
      </c>
    </row>
    <row r="128" spans="1:27" ht="13.2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6463</v>
      </c>
      <c r="AA128" s="1721">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6463</v>
      </c>
      <c r="AA129" s="1721">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6463</v>
      </c>
      <c r="AA130" s="1721">
        <v>130</v>
      </c>
    </row>
    <row r="131" spans="1:27" ht="13.25" customHeight="1">
      <c r="A131" s="341"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60"/>
      <c r="O131" s="3562"/>
      <c r="Z131" s="1719" t="s">
        <v>6463</v>
      </c>
      <c r="AA131" s="1721">
        <v>131</v>
      </c>
    </row>
    <row r="132" spans="1:27" ht="13.25" customHeight="1">
      <c r="A132" s="17" t="s">
        <v>718</v>
      </c>
      <c r="B132" s="220">
        <f>IF(OR(B116="Choose mgt fee",B116="Choose One!"),"",(B109+B110+B111+B112+B113) / -(B115+B116+B117))</f>
        <v>1.2547378698267744</v>
      </c>
      <c r="C132" s="220">
        <f>IF(OR(C116="Choose mgt fee",C116="Choose One!"),"",(C109+C110+C111+C112+C113) / -(C115+C116+C117))</f>
        <v>1.2434659227945752</v>
      </c>
      <c r="D132" s="220">
        <f>IF(OR(D116="Choose mgt fee",D116="Choose One!"),"",(D109+D110+D111+D112+D113) / -(D115+D116+D117))</f>
        <v>1.2322858430955848</v>
      </c>
      <c r="E132" s="220">
        <f>IF(OR(E116="Choose mgt fee",E116="Choose One!"),"",(E109+E110+E111+E112+E113) / -(E115+E116+E117))</f>
        <v>1.2211978222843796</v>
      </c>
      <c r="F132" s="498">
        <f>IF(OR(F116="Choose mgt fee",F116="Choose One!"),"",(F109+F110+F111+F112+F113) / -(F115+F116+F117))</f>
        <v>1.2102032487707992</v>
      </c>
      <c r="G132" s="13"/>
      <c r="H132" s="13"/>
      <c r="I132" s="13"/>
      <c r="J132" s="13"/>
      <c r="K132" s="13"/>
      <c r="N132" s="3560"/>
      <c r="O132" s="3562"/>
      <c r="Z132" s="1719" t="s">
        <v>6463</v>
      </c>
      <c r="AA132" s="1721">
        <v>132</v>
      </c>
    </row>
    <row r="133" spans="1:27" ht="13.25" customHeight="1">
      <c r="A133" s="341" t="s">
        <v>2405</v>
      </c>
      <c r="B133" s="177">
        <f>IF('Part II-Sources of Funds'!$I$40="","",-FV('Part II-Sources of Funds'!$K$40/12,12,B120/12,K103))</f>
        <v>5559466.6442129137</v>
      </c>
      <c r="C133" s="177">
        <f>IF('Part II-Sources of Funds'!$I$40="","",-FV('Part II-Sources of Funds'!$K$40/12,12,C120/12,B133))</f>
        <v>5935453.3544744244</v>
      </c>
      <c r="D133" s="177">
        <f>IF('Part II-Sources of Funds'!$I$40="","",-FV('Part II-Sources of Funds'!$K$40/12,12,D120/12,C133))</f>
        <v>6336868.0446736198</v>
      </c>
      <c r="E133" s="177">
        <f>IF('Part II-Sources of Funds'!$I$40="","",-FV('Part II-Sources of Funds'!$K$40/12,12,E120/12,D133))</f>
        <v>6765430.4090073016</v>
      </c>
      <c r="F133" s="177">
        <f>IF('Part II-Sources of Funds'!$I$40="","",-FV('Part II-Sources of Funds'!$K$40/12,12,F120/12,E133))</f>
        <v>7222976.4445849583</v>
      </c>
      <c r="G133" s="13"/>
      <c r="H133" s="13"/>
      <c r="I133" s="13"/>
      <c r="J133" s="13"/>
      <c r="K133" s="13"/>
      <c r="N133" s="3560"/>
      <c r="O133" s="3562"/>
      <c r="Z133" s="1719" t="s">
        <v>6463</v>
      </c>
      <c r="AA133" s="1721">
        <v>133</v>
      </c>
    </row>
    <row r="134" spans="1:27" ht="13.2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6463</v>
      </c>
      <c r="AA134" s="1721">
        <v>134</v>
      </c>
    </row>
    <row r="135" spans="1:27" ht="13.2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6463</v>
      </c>
      <c r="AA135" s="1721">
        <v>135</v>
      </c>
    </row>
    <row r="136" spans="1:27" ht="13.2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3"/>
      <c r="O136" s="3575"/>
      <c r="Z136" s="1719" t="s">
        <v>6463</v>
      </c>
      <c r="AA136" s="1721">
        <v>136</v>
      </c>
    </row>
    <row r="137" spans="1:27" ht="4.25" customHeight="1"/>
    <row r="138" spans="1:27" ht="12" customHeight="1">
      <c r="A138" s="10" t="s">
        <v>529</v>
      </c>
      <c r="B138" s="10"/>
      <c r="G138" s="10" t="s">
        <v>967</v>
      </c>
    </row>
    <row r="139" spans="1:27" ht="12" customHeight="1">
      <c r="B139" s="10"/>
    </row>
    <row r="140" spans="1:27" ht="409.5" customHeight="1">
      <c r="A140" s="3126" t="s">
        <v>7068</v>
      </c>
      <c r="B140" s="3677"/>
      <c r="C140" s="3677"/>
      <c r="D140" s="3677"/>
      <c r="E140" s="3677"/>
      <c r="F140" s="3678"/>
      <c r="G140" s="3679"/>
      <c r="H140" s="3680"/>
      <c r="I140" s="3680"/>
      <c r="J140" s="3680"/>
      <c r="K140" s="3681"/>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I298" sqref="I298"/>
    </sheetView>
  </sheetViews>
  <sheetFormatPr baseColWidth="10" defaultColWidth="9.1640625" defaultRowHeight="20.25" customHeight="1"/>
  <cols>
    <col min="1" max="1" width="5.83203125" style="2030" customWidth="1"/>
    <col min="2" max="2" width="3.6640625" style="2030" customWidth="1"/>
    <col min="3" max="3" width="2.1640625" style="2030" customWidth="1"/>
    <col min="4" max="10" width="8.83203125" style="2030" customWidth="1"/>
    <col min="11" max="11" width="7.5" style="2030" customWidth="1"/>
    <col min="12" max="14" width="9.1640625" style="2030"/>
    <col min="15" max="16" width="9.5" style="2030" customWidth="1"/>
    <col min="17" max="17" width="9.1640625" style="2030"/>
    <col min="18" max="16384" width="9.1640625" style="2033"/>
  </cols>
  <sheetData>
    <row r="1" spans="1:17" s="2011" customFormat="1" ht="13">
      <c r="A1" s="3682" t="str">
        <f>CONCATENATE("PART SEVEN - THRESHOLD CRITERIA","  -  ",'Part I-Project Identification'!$O$7," ",'Part I-Project Identification'!$F$25,", ",'Part I-Project Identification'!F26,", ",'Part I-Project Identification'!J26," County")</f>
        <v>PART SEVEN - THRESHOLD CRITERIA  -  2023-0 Fairhaven on Campbellton, Atlanta, Fulton County</v>
      </c>
      <c r="B1" s="3682"/>
      <c r="C1" s="3682"/>
      <c r="D1" s="3682"/>
      <c r="E1" s="3682"/>
      <c r="F1" s="3682"/>
      <c r="G1" s="3682"/>
      <c r="H1" s="3682"/>
      <c r="I1" s="3682"/>
      <c r="J1" s="3682"/>
      <c r="K1" s="3682"/>
      <c r="L1" s="3682"/>
      <c r="M1" s="3682"/>
      <c r="N1" s="3682"/>
      <c r="O1" s="3682"/>
      <c r="P1" s="3682"/>
      <c r="Q1" s="3682"/>
    </row>
    <row r="2" spans="1:17" s="2011" customFormat="1" ht="13"/>
    <row r="3" spans="1:17" s="2011" customFormat="1" ht="13">
      <c r="A3" s="368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3"/>
      <c r="C3" s="3683"/>
      <c r="D3" s="3683"/>
      <c r="E3" s="3683"/>
      <c r="F3" s="3683"/>
      <c r="G3" s="3683"/>
      <c r="H3" s="368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3"/>
      <c r="J3" s="3683"/>
      <c r="K3" s="3683"/>
      <c r="L3" s="3683"/>
      <c r="M3" s="3683"/>
      <c r="N3" s="3683"/>
      <c r="O3" s="2012"/>
      <c r="P3" s="3684" t="s">
        <v>6770</v>
      </c>
      <c r="Q3" s="3686" t="s">
        <v>6530</v>
      </c>
    </row>
    <row r="4" spans="1:17" s="2011" customFormat="1" ht="13">
      <c r="A4" s="2013"/>
      <c r="B4" s="3688"/>
      <c r="C4" s="3688"/>
      <c r="D4" s="3688"/>
      <c r="E4" s="2013"/>
      <c r="F4" s="2013"/>
      <c r="G4" s="2013"/>
      <c r="H4" s="2013"/>
      <c r="I4" s="2012"/>
      <c r="J4" s="2014"/>
      <c r="K4" s="2013"/>
      <c r="L4" s="2013"/>
      <c r="M4" s="2013"/>
      <c r="N4" s="2013"/>
      <c r="O4" s="2012"/>
      <c r="P4" s="3684"/>
      <c r="Q4" s="3686"/>
    </row>
    <row r="5" spans="1:17" s="2011" customFormat="1" ht="13">
      <c r="A5" s="2012"/>
      <c r="B5" s="2012"/>
      <c r="C5" s="2012"/>
      <c r="D5" s="2012"/>
      <c r="E5" s="3689" t="str">
        <f>'Part I-Project Identification'!$A$6</f>
        <v>April 2023</v>
      </c>
      <c r="F5" s="3689"/>
      <c r="G5" s="3689"/>
      <c r="H5" s="3689"/>
      <c r="I5" s="3689"/>
      <c r="J5" s="2014"/>
      <c r="K5" s="2013"/>
      <c r="L5" s="2013"/>
      <c r="M5" s="2013"/>
      <c r="N5" s="2013"/>
      <c r="O5" s="2012"/>
      <c r="P5" s="3685"/>
      <c r="Q5" s="3687"/>
    </row>
    <row r="6" spans="1:17" s="2011" customFormat="1" ht="13">
      <c r="A6" s="2012"/>
      <c r="B6" s="2012"/>
      <c r="C6" s="2012"/>
      <c r="D6" s="2012"/>
      <c r="E6" s="2015"/>
      <c r="F6" s="2015"/>
      <c r="G6" s="2015"/>
      <c r="H6" s="2015"/>
      <c r="I6" s="2015"/>
      <c r="J6" s="2014"/>
      <c r="K6" s="2012"/>
      <c r="L6" s="2016"/>
      <c r="M6" s="2014"/>
      <c r="N6" s="2013"/>
      <c r="O6" s="2012"/>
      <c r="P6" s="2017"/>
      <c r="Q6" s="2017"/>
    </row>
    <row r="7" spans="1:17" s="2011" customFormat="1" ht="37.5" customHeight="1">
      <c r="A7" s="3693" t="s">
        <v>6771</v>
      </c>
      <c r="B7" s="3693"/>
      <c r="C7" s="3693"/>
      <c r="D7" s="3693"/>
      <c r="E7" s="3693"/>
      <c r="F7" s="3693"/>
      <c r="G7" s="3693"/>
      <c r="H7" s="3693"/>
      <c r="I7" s="3693"/>
      <c r="J7" s="3693"/>
      <c r="K7" s="3693"/>
      <c r="L7" s="3693"/>
      <c r="M7" s="3693"/>
      <c r="N7" s="3693"/>
      <c r="O7" s="3693"/>
      <c r="P7" s="3693"/>
      <c r="Q7" s="3693"/>
    </row>
    <row r="8" spans="1:17" s="2011" customFormat="1" ht="13">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4"/>
      <c r="Q9" s="3695"/>
    </row>
    <row r="10" spans="1:17" s="2022" customFormat="1" ht="14">
      <c r="A10" s="2023" t="s">
        <v>3066</v>
      </c>
      <c r="B10" s="2019"/>
      <c r="C10" s="2019"/>
      <c r="D10" s="2019"/>
      <c r="E10" s="2019"/>
      <c r="F10" s="2019"/>
      <c r="G10" s="2019"/>
      <c r="H10" s="2024"/>
      <c r="I10" s="2025"/>
      <c r="J10" s="2025"/>
      <c r="K10" s="2024"/>
      <c r="L10" s="2024"/>
      <c r="M10" s="2026"/>
      <c r="N10" s="2026"/>
      <c r="O10" s="2019"/>
      <c r="P10" s="2019"/>
      <c r="Q10" s="2019"/>
    </row>
    <row r="11" spans="1:17" s="2022" customFormat="1" ht="14">
      <c r="A11" s="3696" t="s">
        <v>1329</v>
      </c>
      <c r="B11" s="3697"/>
      <c r="C11" s="3697"/>
      <c r="D11" s="3697"/>
      <c r="E11" s="3697"/>
      <c r="F11" s="3697"/>
      <c r="G11" s="3697"/>
      <c r="H11" s="3697"/>
      <c r="I11" s="3697"/>
      <c r="J11" s="3697"/>
      <c r="K11" s="3697"/>
      <c r="L11" s="3697"/>
      <c r="M11" s="3697"/>
      <c r="N11" s="3697"/>
      <c r="O11" s="3697"/>
      <c r="P11" s="3697"/>
      <c r="Q11" s="3698"/>
    </row>
    <row r="12" spans="1:17" s="2022" customFormat="1" ht="14">
      <c r="A12" s="3690" t="s">
        <v>218</v>
      </c>
      <c r="B12" s="3691"/>
      <c r="C12" s="3691"/>
      <c r="D12" s="3691"/>
      <c r="E12" s="3691"/>
      <c r="F12" s="3691"/>
      <c r="G12" s="3691"/>
      <c r="H12" s="3691"/>
      <c r="I12" s="3691"/>
      <c r="J12" s="3691"/>
      <c r="K12" s="3691"/>
      <c r="L12" s="3691"/>
      <c r="M12" s="3691"/>
      <c r="N12" s="3691"/>
      <c r="O12" s="3691"/>
      <c r="P12" s="3691"/>
      <c r="Q12" s="3692"/>
    </row>
    <row r="13" spans="1:17" s="2022" customFormat="1" ht="14">
      <c r="A13" s="3690" t="s">
        <v>1325</v>
      </c>
      <c r="B13" s="3691"/>
      <c r="C13" s="3691"/>
      <c r="D13" s="3691"/>
      <c r="E13" s="3691"/>
      <c r="F13" s="3691"/>
      <c r="G13" s="3691"/>
      <c r="H13" s="3691"/>
      <c r="I13" s="3691"/>
      <c r="J13" s="3691"/>
      <c r="K13" s="3691"/>
      <c r="L13" s="3691"/>
      <c r="M13" s="3691"/>
      <c r="N13" s="3691"/>
      <c r="O13" s="3691"/>
      <c r="P13" s="3691"/>
      <c r="Q13" s="3692"/>
    </row>
    <row r="14" spans="1:17" s="2022" customFormat="1" ht="14">
      <c r="A14" s="3690" t="s">
        <v>1326</v>
      </c>
      <c r="B14" s="3691"/>
      <c r="C14" s="3691"/>
      <c r="D14" s="3691"/>
      <c r="E14" s="3691"/>
      <c r="F14" s="3691"/>
      <c r="G14" s="3691"/>
      <c r="H14" s="3691"/>
      <c r="I14" s="3691"/>
      <c r="J14" s="3691"/>
      <c r="K14" s="3691"/>
      <c r="L14" s="3691"/>
      <c r="M14" s="3691"/>
      <c r="N14" s="3691"/>
      <c r="O14" s="3691"/>
      <c r="P14" s="3691"/>
      <c r="Q14" s="3692"/>
    </row>
    <row r="15" spans="1:17" s="2022" customFormat="1" ht="14">
      <c r="A15" s="3690" t="s">
        <v>1327</v>
      </c>
      <c r="B15" s="3691"/>
      <c r="C15" s="3691"/>
      <c r="D15" s="3691"/>
      <c r="E15" s="3691"/>
      <c r="F15" s="3691"/>
      <c r="G15" s="3691"/>
      <c r="H15" s="3691"/>
      <c r="I15" s="3691"/>
      <c r="J15" s="3691"/>
      <c r="K15" s="3691"/>
      <c r="L15" s="3691"/>
      <c r="M15" s="3691"/>
      <c r="N15" s="3691"/>
      <c r="O15" s="3691"/>
      <c r="P15" s="3691"/>
      <c r="Q15" s="3692"/>
    </row>
    <row r="16" spans="1:17" s="2022" customFormat="1" ht="14">
      <c r="A16" s="3690" t="s">
        <v>1328</v>
      </c>
      <c r="B16" s="3691"/>
      <c r="C16" s="3691"/>
      <c r="D16" s="3691"/>
      <c r="E16" s="3691"/>
      <c r="F16" s="3691"/>
      <c r="G16" s="3691"/>
      <c r="H16" s="3691"/>
      <c r="I16" s="3691"/>
      <c r="J16" s="3691"/>
      <c r="K16" s="3691"/>
      <c r="L16" s="3691"/>
      <c r="M16" s="3691"/>
      <c r="N16" s="3691"/>
      <c r="O16" s="3691"/>
      <c r="P16" s="3691"/>
      <c r="Q16" s="3692"/>
    </row>
    <row r="17" spans="1:17" s="2022" customFormat="1" ht="14">
      <c r="A17" s="3690" t="s">
        <v>1330</v>
      </c>
      <c r="B17" s="3691"/>
      <c r="C17" s="3691"/>
      <c r="D17" s="3691"/>
      <c r="E17" s="3691"/>
      <c r="F17" s="3691"/>
      <c r="G17" s="3691"/>
      <c r="H17" s="3691"/>
      <c r="I17" s="3691"/>
      <c r="J17" s="3691"/>
      <c r="K17" s="3691"/>
      <c r="L17" s="3691"/>
      <c r="M17" s="3691"/>
      <c r="N17" s="3691"/>
      <c r="O17" s="3691"/>
      <c r="P17" s="3691"/>
      <c r="Q17" s="3692"/>
    </row>
    <row r="18" spans="1:17" s="2022" customFormat="1" ht="14">
      <c r="A18" s="3690" t="s">
        <v>1872</v>
      </c>
      <c r="B18" s="3691"/>
      <c r="C18" s="3691"/>
      <c r="D18" s="3691"/>
      <c r="E18" s="3691"/>
      <c r="F18" s="3691"/>
      <c r="G18" s="3691"/>
      <c r="H18" s="3691"/>
      <c r="I18" s="3691"/>
      <c r="J18" s="3691"/>
      <c r="K18" s="3691"/>
      <c r="L18" s="3691"/>
      <c r="M18" s="3691"/>
      <c r="N18" s="3691"/>
      <c r="O18" s="3691"/>
      <c r="P18" s="3691"/>
      <c r="Q18" s="3692"/>
    </row>
    <row r="19" spans="1:17" s="2022" customFormat="1" ht="14">
      <c r="A19" s="3690" t="s">
        <v>1873</v>
      </c>
      <c r="B19" s="3691"/>
      <c r="C19" s="3691"/>
      <c r="D19" s="3691"/>
      <c r="E19" s="3691"/>
      <c r="F19" s="3691"/>
      <c r="G19" s="3691"/>
      <c r="H19" s="3691"/>
      <c r="I19" s="3691"/>
      <c r="J19" s="3691"/>
      <c r="K19" s="3691"/>
      <c r="L19" s="3691"/>
      <c r="M19" s="3691"/>
      <c r="N19" s="3691"/>
      <c r="O19" s="3691"/>
      <c r="P19" s="3691"/>
      <c r="Q19" s="3692"/>
    </row>
    <row r="20" spans="1:17" s="2022" customFormat="1" ht="14">
      <c r="A20" s="3690" t="s">
        <v>1874</v>
      </c>
      <c r="B20" s="3691"/>
      <c r="C20" s="3691"/>
      <c r="D20" s="3691"/>
      <c r="E20" s="3691"/>
      <c r="F20" s="3691"/>
      <c r="G20" s="3691"/>
      <c r="H20" s="3691"/>
      <c r="I20" s="3691"/>
      <c r="J20" s="3691"/>
      <c r="K20" s="3691"/>
      <c r="L20" s="3691"/>
      <c r="M20" s="3691"/>
      <c r="N20" s="3691"/>
      <c r="O20" s="3691"/>
      <c r="P20" s="3691"/>
      <c r="Q20" s="3692"/>
    </row>
    <row r="21" spans="1:17" s="2022" customFormat="1" ht="14">
      <c r="A21" s="3690" t="s">
        <v>1875</v>
      </c>
      <c r="B21" s="3691"/>
      <c r="C21" s="3691"/>
      <c r="D21" s="3691"/>
      <c r="E21" s="3691"/>
      <c r="F21" s="3691"/>
      <c r="G21" s="3691"/>
      <c r="H21" s="3691"/>
      <c r="I21" s="3691"/>
      <c r="J21" s="3691"/>
      <c r="K21" s="3691"/>
      <c r="L21" s="3691"/>
      <c r="M21" s="3691"/>
      <c r="N21" s="3691"/>
      <c r="O21" s="3691"/>
      <c r="P21" s="3691"/>
      <c r="Q21" s="3692"/>
    </row>
    <row r="22" spans="1:17" s="2022" customFormat="1" ht="14">
      <c r="A22" s="3690" t="s">
        <v>1876</v>
      </c>
      <c r="B22" s="3691"/>
      <c r="C22" s="3691"/>
      <c r="D22" s="3691"/>
      <c r="E22" s="3691"/>
      <c r="F22" s="3691"/>
      <c r="G22" s="3691"/>
      <c r="H22" s="3691"/>
      <c r="I22" s="3691"/>
      <c r="J22" s="3691"/>
      <c r="K22" s="3691"/>
      <c r="L22" s="3691"/>
      <c r="M22" s="3691"/>
      <c r="N22" s="3691"/>
      <c r="O22" s="3691"/>
      <c r="P22" s="3691"/>
      <c r="Q22" s="3692"/>
    </row>
    <row r="23" spans="1:17" s="2022" customFormat="1" ht="14">
      <c r="A23" s="3690" t="s">
        <v>1877</v>
      </c>
      <c r="B23" s="3691"/>
      <c r="C23" s="3691"/>
      <c r="D23" s="3691"/>
      <c r="E23" s="3691"/>
      <c r="F23" s="3691"/>
      <c r="G23" s="3691"/>
      <c r="H23" s="3691"/>
      <c r="I23" s="3691"/>
      <c r="J23" s="3691"/>
      <c r="K23" s="3691"/>
      <c r="L23" s="3691"/>
      <c r="M23" s="3691"/>
      <c r="N23" s="3691"/>
      <c r="O23" s="3691"/>
      <c r="P23" s="3691"/>
      <c r="Q23" s="3692"/>
    </row>
    <row r="24" spans="1:17" s="2022" customFormat="1" ht="14">
      <c r="A24" s="3690" t="s">
        <v>1878</v>
      </c>
      <c r="B24" s="3691"/>
      <c r="C24" s="3691"/>
      <c r="D24" s="3691"/>
      <c r="E24" s="3691"/>
      <c r="F24" s="3691"/>
      <c r="G24" s="3691"/>
      <c r="H24" s="3691"/>
      <c r="I24" s="3691"/>
      <c r="J24" s="3691"/>
      <c r="K24" s="3691"/>
      <c r="L24" s="3691"/>
      <c r="M24" s="3691"/>
      <c r="N24" s="3691"/>
      <c r="O24" s="3691"/>
      <c r="P24" s="3691"/>
      <c r="Q24" s="3692"/>
    </row>
    <row r="25" spans="1:17" s="2022" customFormat="1" ht="14">
      <c r="A25" s="3690" t="s">
        <v>1879</v>
      </c>
      <c r="B25" s="3691"/>
      <c r="C25" s="3691"/>
      <c r="D25" s="3691"/>
      <c r="E25" s="3691"/>
      <c r="F25" s="3691"/>
      <c r="G25" s="3691"/>
      <c r="H25" s="3691"/>
      <c r="I25" s="3691"/>
      <c r="J25" s="3691"/>
      <c r="K25" s="3691"/>
      <c r="L25" s="3691"/>
      <c r="M25" s="3691"/>
      <c r="N25" s="3691"/>
      <c r="O25" s="3691"/>
      <c r="P25" s="3691"/>
      <c r="Q25" s="3692"/>
    </row>
    <row r="26" spans="1:17" s="2022" customFormat="1" ht="14">
      <c r="A26" s="3690" t="s">
        <v>1880</v>
      </c>
      <c r="B26" s="3691"/>
      <c r="C26" s="3691"/>
      <c r="D26" s="3691"/>
      <c r="E26" s="3691"/>
      <c r="F26" s="3691"/>
      <c r="G26" s="3691"/>
      <c r="H26" s="3691"/>
      <c r="I26" s="3691"/>
      <c r="J26" s="3691"/>
      <c r="K26" s="3691"/>
      <c r="L26" s="3691"/>
      <c r="M26" s="3691"/>
      <c r="N26" s="3691"/>
      <c r="O26" s="3691"/>
      <c r="P26" s="3691"/>
      <c r="Q26" s="3692"/>
    </row>
    <row r="27" spans="1:17" s="2022" customFormat="1" ht="14">
      <c r="A27" s="3690" t="s">
        <v>1881</v>
      </c>
      <c r="B27" s="3691"/>
      <c r="C27" s="3691"/>
      <c r="D27" s="3691"/>
      <c r="E27" s="3691"/>
      <c r="F27" s="3691"/>
      <c r="G27" s="3691"/>
      <c r="H27" s="3691"/>
      <c r="I27" s="3691"/>
      <c r="J27" s="3691"/>
      <c r="K27" s="3691"/>
      <c r="L27" s="3691"/>
      <c r="M27" s="3691"/>
      <c r="N27" s="3691"/>
      <c r="O27" s="3691"/>
      <c r="P27" s="3691"/>
      <c r="Q27" s="3692"/>
    </row>
    <row r="28" spans="1:17" s="2022" customFormat="1" ht="14">
      <c r="A28" s="3699" t="s">
        <v>1882</v>
      </c>
      <c r="B28" s="3700"/>
      <c r="C28" s="3700"/>
      <c r="D28" s="3700"/>
      <c r="E28" s="3700"/>
      <c r="F28" s="3700"/>
      <c r="G28" s="3700"/>
      <c r="H28" s="3700"/>
      <c r="I28" s="3700"/>
      <c r="J28" s="3700"/>
      <c r="K28" s="3700"/>
      <c r="L28" s="3700"/>
      <c r="M28" s="3700"/>
      <c r="N28" s="3700"/>
      <c r="O28" s="3700"/>
      <c r="P28" s="3700"/>
      <c r="Q28" s="3701"/>
    </row>
    <row r="29" spans="1:17" s="2022" customFormat="1" ht="14">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2"/>
      <c r="Q31" s="3703"/>
    </row>
    <row r="32" spans="1:17" ht="20.25" customHeight="1">
      <c r="B32" s="2034" t="s">
        <v>6773</v>
      </c>
      <c r="C32" s="2034"/>
      <c r="D32" s="2034"/>
      <c r="E32" s="2034"/>
      <c r="F32" s="2034"/>
      <c r="G32" s="2031"/>
      <c r="H32" s="2031"/>
      <c r="I32" s="2031"/>
      <c r="J32" s="2031"/>
      <c r="K32" s="2026"/>
      <c r="L32" s="2026"/>
      <c r="M32" s="2026"/>
      <c r="N32" s="2026"/>
      <c r="O32" s="2026"/>
      <c r="P32" s="2026"/>
    </row>
    <row r="33" spans="1:17" ht="92" customHeight="1">
      <c r="A33" s="3704" t="s">
        <v>7118</v>
      </c>
      <c r="B33" s="3704"/>
      <c r="C33" s="3704"/>
      <c r="D33" s="3704"/>
      <c r="E33" s="3704"/>
      <c r="F33" s="3704"/>
      <c r="G33" s="3704"/>
      <c r="H33" s="3704"/>
      <c r="I33" s="3704"/>
      <c r="J33" s="3704"/>
      <c r="K33" s="3704"/>
      <c r="L33" s="3704"/>
      <c r="M33" s="3704"/>
      <c r="N33" s="3704"/>
      <c r="O33" s="3704"/>
      <c r="P33" s="3704"/>
      <c r="Q33" s="3705"/>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6"/>
      <c r="B35" s="3706"/>
      <c r="C35" s="3706"/>
      <c r="D35" s="3706"/>
      <c r="E35" s="3706"/>
      <c r="F35" s="3706"/>
      <c r="G35" s="3706"/>
      <c r="H35" s="3706"/>
      <c r="I35" s="3706"/>
      <c r="J35" s="3706"/>
      <c r="K35" s="3706"/>
      <c r="L35" s="3706"/>
      <c r="M35" s="3706"/>
      <c r="N35" s="3706"/>
      <c r="O35" s="3706"/>
      <c r="P35" s="3706"/>
      <c r="Q35" s="3706"/>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7"/>
      <c r="Q38" s="3708"/>
    </row>
    <row r="39" spans="1:17" ht="20.25" customHeight="1">
      <c r="A39" s="2042"/>
      <c r="B39" s="3720" t="s">
        <v>6774</v>
      </c>
      <c r="C39" s="3720"/>
      <c r="D39" s="3720"/>
      <c r="E39" s="3720"/>
      <c r="F39" s="3720"/>
      <c r="G39" s="3720"/>
      <c r="H39" s="3720"/>
      <c r="I39" s="3720"/>
      <c r="J39" s="3720"/>
      <c r="K39" s="3720"/>
      <c r="L39" s="3720"/>
      <c r="M39" s="3720"/>
      <c r="N39" s="3720"/>
      <c r="O39" s="3720"/>
      <c r="P39" s="3721" t="s">
        <v>2649</v>
      </c>
      <c r="Q39" s="3722"/>
    </row>
    <row r="40" spans="1:17" ht="20.25" customHeight="1">
      <c r="B40" s="2045" t="s">
        <v>3239</v>
      </c>
      <c r="D40" s="2045"/>
      <c r="E40" s="2045"/>
      <c r="F40" s="2045"/>
      <c r="G40" s="2045"/>
      <c r="H40" s="2043"/>
      <c r="I40" s="2031"/>
      <c r="J40" s="2031"/>
    </row>
    <row r="41" spans="1:17" ht="20.25" customHeight="1">
      <c r="A41" s="3723" t="s">
        <v>7117</v>
      </c>
      <c r="B41" s="3724"/>
      <c r="C41" s="3724"/>
      <c r="D41" s="3724"/>
      <c r="E41" s="3724"/>
      <c r="F41" s="3724"/>
      <c r="G41" s="3724"/>
      <c r="H41" s="3724"/>
      <c r="I41" s="3724"/>
      <c r="J41" s="3724"/>
      <c r="K41" s="3724"/>
      <c r="L41" s="3724"/>
      <c r="M41" s="3724"/>
      <c r="N41" s="3724"/>
      <c r="O41" s="3724"/>
      <c r="P41" s="3724"/>
      <c r="Q41" s="3725"/>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6"/>
      <c r="B43" s="3706"/>
      <c r="C43" s="3706"/>
      <c r="D43" s="3706"/>
      <c r="E43" s="3706"/>
      <c r="F43" s="3706"/>
      <c r="G43" s="3706"/>
      <c r="H43" s="3706"/>
      <c r="I43" s="3706"/>
      <c r="J43" s="3706"/>
      <c r="K43" s="3706"/>
      <c r="L43" s="3706"/>
      <c r="M43" s="3706"/>
      <c r="N43" s="3706"/>
      <c r="O43" s="3706"/>
      <c r="P43" s="3706"/>
      <c r="Q43" s="3706"/>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7"/>
      <c r="Q46" s="3711"/>
    </row>
    <row r="47" spans="1:17" ht="20.25" customHeight="1">
      <c r="A47" s="2053"/>
      <c r="B47" s="2043" t="s">
        <v>6775</v>
      </c>
      <c r="C47" s="2042"/>
      <c r="D47" s="2036"/>
      <c r="E47" s="2036"/>
      <c r="F47" s="2036"/>
      <c r="G47" s="2036"/>
      <c r="H47" s="2036"/>
      <c r="I47" s="2036"/>
      <c r="J47" s="2036"/>
      <c r="L47" s="2051"/>
      <c r="M47" s="2052"/>
      <c r="O47" s="2032"/>
      <c r="P47" s="3721" t="s">
        <v>2649</v>
      </c>
      <c r="Q47" s="3722"/>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77" customHeight="1">
      <c r="A49" s="3704" t="s">
        <v>7116</v>
      </c>
      <c r="B49" s="3704"/>
      <c r="C49" s="3704"/>
      <c r="D49" s="3704"/>
      <c r="E49" s="3704"/>
      <c r="F49" s="3704"/>
      <c r="G49" s="3704"/>
      <c r="H49" s="3704"/>
      <c r="I49" s="3704"/>
      <c r="J49" s="3704"/>
      <c r="K49" s="3709"/>
      <c r="L49" s="3709"/>
      <c r="M49" s="3709"/>
      <c r="N49" s="3709"/>
      <c r="O49" s="3709"/>
      <c r="P49" s="3709"/>
      <c r="Q49" s="3710"/>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7"/>
      <c r="Q52" s="3711"/>
    </row>
    <row r="53" spans="1:17" ht="33" customHeight="1">
      <c r="A53" s="2053"/>
      <c r="B53" s="3712" t="s">
        <v>2264</v>
      </c>
      <c r="C53" s="3712"/>
      <c r="D53" s="3712"/>
      <c r="E53" s="3712"/>
      <c r="F53" s="3712"/>
      <c r="G53" s="3712"/>
      <c r="H53" s="3713"/>
      <c r="I53" s="3714" t="s">
        <v>7069</v>
      </c>
      <c r="J53" s="3715"/>
      <c r="K53" s="3715"/>
      <c r="L53" s="3715"/>
      <c r="M53" s="3715"/>
      <c r="N53" s="3715"/>
      <c r="O53" s="3715"/>
      <c r="P53" s="3715"/>
      <c r="Q53" s="3716"/>
    </row>
    <row r="54" spans="1:17" ht="20.25" customHeight="1">
      <c r="A54" s="2053"/>
      <c r="B54" s="2030" t="s">
        <v>6776</v>
      </c>
      <c r="D54" s="2056"/>
      <c r="E54" s="2056"/>
      <c r="F54" s="2056"/>
      <c r="I54" s="3717">
        <v>0.97</v>
      </c>
      <c r="J54" s="3718"/>
      <c r="K54" s="3719"/>
      <c r="L54" s="2044"/>
      <c r="M54" s="2057"/>
      <c r="N54" s="2057"/>
      <c r="O54" s="2057"/>
      <c r="P54" s="2057"/>
      <c r="Q54" s="2026"/>
    </row>
    <row r="55" spans="1:17" ht="20.25" customHeight="1">
      <c r="A55" s="2053"/>
      <c r="B55" s="2030" t="s">
        <v>6777</v>
      </c>
      <c r="D55" s="2056"/>
      <c r="E55" s="2056"/>
      <c r="F55" s="2056"/>
      <c r="H55" s="2044" t="s">
        <v>6778</v>
      </c>
      <c r="I55" s="3717">
        <v>1.0999999999999999E-2</v>
      </c>
      <c r="J55" s="3718"/>
      <c r="K55" s="3719"/>
      <c r="L55" s="2058"/>
      <c r="M55" s="2059" t="s">
        <v>6779</v>
      </c>
      <c r="N55" s="3717">
        <v>3.0000000000000001E-3</v>
      </c>
      <c r="O55" s="3719"/>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32" customHeight="1">
      <c r="A57" s="3704" t="s">
        <v>7070</v>
      </c>
      <c r="B57" s="3704"/>
      <c r="C57" s="3704"/>
      <c r="D57" s="3704"/>
      <c r="E57" s="3704"/>
      <c r="F57" s="3704"/>
      <c r="G57" s="3704"/>
      <c r="H57" s="3704"/>
      <c r="I57" s="3704"/>
      <c r="J57" s="3704"/>
      <c r="K57" s="3704"/>
      <c r="L57" s="3704"/>
      <c r="M57" s="3704"/>
      <c r="N57" s="3704"/>
      <c r="O57" s="3704"/>
      <c r="P57" s="3704"/>
      <c r="Q57" s="3705"/>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9"/>
      <c r="B59" s="3709"/>
      <c r="C59" s="3709"/>
      <c r="D59" s="3709"/>
      <c r="E59" s="3709"/>
      <c r="F59" s="3709"/>
      <c r="G59" s="3709"/>
      <c r="H59" s="3709"/>
      <c r="I59" s="3709"/>
      <c r="J59" s="3709"/>
      <c r="K59" s="3709"/>
      <c r="L59" s="3709"/>
      <c r="M59" s="3709"/>
      <c r="N59" s="3709"/>
      <c r="O59" s="3709"/>
      <c r="P59" s="3709"/>
      <c r="Q59" s="3710"/>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6780</v>
      </c>
      <c r="I63" s="2062"/>
      <c r="J63" s="3737"/>
      <c r="K63" s="3737"/>
      <c r="L63" s="3737"/>
      <c r="M63" s="3737"/>
      <c r="N63" s="3737"/>
      <c r="O63" s="3737"/>
      <c r="P63" s="3737"/>
      <c r="Q63" s="3738"/>
    </row>
    <row r="64" spans="1:17" ht="20.25" customHeight="1">
      <c r="A64" s="2053"/>
      <c r="B64" s="2030" t="s">
        <v>3947</v>
      </c>
      <c r="O64" s="2044"/>
      <c r="P64" s="2065"/>
      <c r="Q64" s="2066"/>
    </row>
    <row r="65" spans="1:17" ht="33" customHeight="1">
      <c r="B65" s="2042"/>
      <c r="C65" s="3712" t="s">
        <v>6781</v>
      </c>
      <c r="D65" s="3712"/>
      <c r="E65" s="3712"/>
      <c r="F65" s="3712"/>
      <c r="G65" s="3712"/>
      <c r="H65" s="3712"/>
      <c r="I65" s="3712"/>
      <c r="J65" s="3712"/>
      <c r="K65" s="3712"/>
      <c r="L65" s="3712"/>
      <c r="M65" s="3712"/>
      <c r="N65" s="3712"/>
      <c r="O65" s="3712"/>
      <c r="P65" s="2065"/>
      <c r="Q65" s="2066"/>
    </row>
    <row r="66" spans="1:17" ht="33" customHeight="1">
      <c r="A66" s="2053"/>
      <c r="B66" s="2042"/>
      <c r="C66" s="3712" t="s">
        <v>6782</v>
      </c>
      <c r="D66" s="3712"/>
      <c r="E66" s="3712"/>
      <c r="F66" s="3712"/>
      <c r="G66" s="3712"/>
      <c r="H66" s="3712"/>
      <c r="I66" s="3712"/>
      <c r="J66" s="3712"/>
      <c r="K66" s="3712"/>
      <c r="L66" s="3712"/>
      <c r="M66" s="3712"/>
      <c r="N66" s="3712"/>
      <c r="O66" s="3712"/>
      <c r="P66" s="2067"/>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23" t="s">
        <v>7071</v>
      </c>
      <c r="B68" s="3726"/>
      <c r="C68" s="3726"/>
      <c r="D68" s="3726"/>
      <c r="E68" s="3726"/>
      <c r="F68" s="3726"/>
      <c r="G68" s="3726"/>
      <c r="H68" s="3726"/>
      <c r="I68" s="3726"/>
      <c r="J68" s="3726"/>
      <c r="K68" s="3726"/>
      <c r="L68" s="3726"/>
      <c r="M68" s="3726"/>
      <c r="N68" s="3726"/>
      <c r="O68" s="3726"/>
      <c r="P68" s="3726"/>
      <c r="Q68" s="3727"/>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8"/>
      <c r="B70" s="3729"/>
      <c r="C70" s="3729"/>
      <c r="D70" s="3729"/>
      <c r="E70" s="3729"/>
      <c r="F70" s="3729"/>
      <c r="G70" s="3729"/>
      <c r="H70" s="3729"/>
      <c r="I70" s="3729"/>
      <c r="J70" s="3729"/>
      <c r="K70" s="3729"/>
      <c r="L70" s="3729"/>
      <c r="M70" s="3729"/>
      <c r="N70" s="3729"/>
      <c r="O70" s="3729"/>
      <c r="P70" s="3729"/>
      <c r="Q70" s="3730"/>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7"/>
      <c r="Q73" s="3711"/>
    </row>
    <row r="74" spans="1:17" ht="32.25" customHeight="1">
      <c r="A74" s="2053"/>
      <c r="B74" s="3712" t="s">
        <v>6783</v>
      </c>
      <c r="C74" s="3712"/>
      <c r="D74" s="3712"/>
      <c r="E74" s="3712"/>
      <c r="F74" s="3712"/>
      <c r="G74" s="3712"/>
      <c r="H74" s="3712"/>
      <c r="I74" s="3712"/>
      <c r="J74" s="3712"/>
      <c r="K74" s="3713"/>
      <c r="L74" s="3731" t="s">
        <v>7072</v>
      </c>
      <c r="M74" s="3732"/>
      <c r="N74" s="3732"/>
      <c r="O74" s="3732"/>
      <c r="P74" s="3733"/>
      <c r="Q74" s="3734"/>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2649</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2652</v>
      </c>
      <c r="Q81" s="2068"/>
    </row>
    <row r="82" spans="1:23" ht="32.25" customHeight="1">
      <c r="A82" s="2053"/>
      <c r="B82" s="3740" t="s">
        <v>6790</v>
      </c>
      <c r="C82" s="3740"/>
      <c r="D82" s="3740"/>
      <c r="E82" s="3740"/>
      <c r="F82" s="3740"/>
      <c r="G82" s="3740"/>
      <c r="H82" s="3740"/>
      <c r="I82" s="3740"/>
      <c r="J82" s="3740"/>
      <c r="K82" s="3740"/>
      <c r="L82" s="3740"/>
      <c r="M82" s="3740"/>
      <c r="N82" s="3740"/>
      <c r="O82" s="3740"/>
      <c r="P82" s="3740"/>
      <c r="Q82" s="3740"/>
    </row>
    <row r="83" spans="1:23" ht="20.25" customHeight="1">
      <c r="B83" s="3737" t="s">
        <v>7045</v>
      </c>
      <c r="C83" s="3737"/>
      <c r="D83" s="3737"/>
      <c r="E83" s="3737"/>
      <c r="F83" s="3737"/>
      <c r="G83" s="3737"/>
      <c r="H83" s="3737"/>
      <c r="I83" s="3737"/>
      <c r="J83" s="3737"/>
      <c r="K83" s="3737"/>
      <c r="L83" s="3737"/>
      <c r="M83" s="3737"/>
      <c r="N83" s="3737"/>
      <c r="O83" s="3737"/>
      <c r="P83" s="3737"/>
      <c r="Q83" s="3738"/>
    </row>
    <row r="84" spans="1:23" ht="20.25" customHeight="1">
      <c r="B84" s="2060" t="s">
        <v>3239</v>
      </c>
      <c r="D84" s="2060"/>
      <c r="E84" s="2060"/>
      <c r="F84" s="2060"/>
      <c r="G84" s="2060"/>
      <c r="H84" s="2043"/>
      <c r="I84" s="2031"/>
      <c r="J84" s="2031"/>
      <c r="K84" s="2031"/>
      <c r="L84" s="2026"/>
      <c r="M84" s="2026"/>
      <c r="N84" s="2026"/>
      <c r="O84" s="2026"/>
      <c r="P84" s="2026"/>
      <c r="Q84" s="2026"/>
    </row>
    <row r="85" spans="1:23" ht="74" customHeight="1">
      <c r="A85" s="3704" t="s">
        <v>7115</v>
      </c>
      <c r="B85" s="3704"/>
      <c r="C85" s="3704"/>
      <c r="D85" s="3704"/>
      <c r="E85" s="3704"/>
      <c r="F85" s="3704"/>
      <c r="G85" s="3704"/>
      <c r="H85" s="3704"/>
      <c r="I85" s="3704"/>
      <c r="J85" s="3704"/>
      <c r="K85" s="3704"/>
      <c r="L85" s="3704"/>
      <c r="M85" s="3704"/>
      <c r="N85" s="3704"/>
      <c r="O85" s="3704"/>
      <c r="P85" s="3704"/>
      <c r="Q85" s="3705"/>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9"/>
      <c r="B87" s="3709"/>
      <c r="C87" s="3709"/>
      <c r="D87" s="3709"/>
      <c r="E87" s="3709"/>
      <c r="F87" s="3709"/>
      <c r="G87" s="3709"/>
      <c r="H87" s="3709"/>
      <c r="I87" s="3709"/>
      <c r="J87" s="3709"/>
      <c r="K87" s="3709"/>
      <c r="L87" s="3709"/>
      <c r="M87" s="3709"/>
      <c r="N87" s="3709"/>
      <c r="O87" s="3709"/>
      <c r="P87" s="3709"/>
      <c r="Q87" s="3710"/>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7"/>
      <c r="Q90" s="3711"/>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1" t="s">
        <v>7073</v>
      </c>
      <c r="M91" s="3742"/>
      <c r="N91" s="3743"/>
      <c r="O91" s="3707" t="s">
        <v>1646</v>
      </c>
      <c r="P91" s="3744"/>
      <c r="Q91" s="3745"/>
    </row>
    <row r="92" spans="1:23" ht="20.25" customHeight="1">
      <c r="A92" s="2053"/>
      <c r="B92" s="2030" t="s">
        <v>636</v>
      </c>
      <c r="G92" s="3737" t="s">
        <v>7113</v>
      </c>
      <c r="H92" s="3737"/>
      <c r="I92" s="3737"/>
      <c r="J92" s="3737"/>
      <c r="K92" s="3737"/>
      <c r="L92" s="3737"/>
      <c r="M92" s="3737"/>
      <c r="N92" s="3737"/>
      <c r="O92" s="3737"/>
      <c r="P92" s="3737"/>
      <c r="Q92" s="3738"/>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38" customHeight="1">
      <c r="A94" s="3704" t="s">
        <v>7114</v>
      </c>
      <c r="B94" s="3704"/>
      <c r="C94" s="3704"/>
      <c r="D94" s="3704"/>
      <c r="E94" s="3704"/>
      <c r="F94" s="3704"/>
      <c r="G94" s="3704"/>
      <c r="H94" s="3704"/>
      <c r="I94" s="3704"/>
      <c r="J94" s="3704"/>
      <c r="K94" s="3704"/>
      <c r="L94" s="3704"/>
      <c r="M94" s="3704"/>
      <c r="N94" s="3704"/>
      <c r="O94" s="3704"/>
      <c r="P94" s="3704"/>
      <c r="Q94" s="3739"/>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9"/>
      <c r="B96" s="3709"/>
      <c r="C96" s="3709"/>
      <c r="D96" s="3709"/>
      <c r="E96" s="3709"/>
      <c r="F96" s="3709"/>
      <c r="G96" s="3709"/>
      <c r="H96" s="3709"/>
      <c r="I96" s="3709"/>
      <c r="J96" s="3709"/>
      <c r="K96" s="3709"/>
      <c r="L96" s="3709"/>
      <c r="M96" s="3709"/>
      <c r="N96" s="3709"/>
      <c r="O96" s="3709"/>
      <c r="P96" s="3709"/>
      <c r="Q96" s="3706"/>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7"/>
      <c r="Q99" s="3711"/>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4" t="s">
        <v>7053</v>
      </c>
      <c r="B101" s="3704"/>
      <c r="C101" s="3704"/>
      <c r="D101" s="3704"/>
      <c r="E101" s="3704"/>
      <c r="F101" s="3704"/>
      <c r="G101" s="3704"/>
      <c r="H101" s="3704"/>
      <c r="I101" s="3704"/>
      <c r="J101" s="3704"/>
      <c r="K101" s="3704"/>
      <c r="L101" s="3704"/>
      <c r="M101" s="3704"/>
      <c r="N101" s="3704"/>
      <c r="O101" s="3704"/>
      <c r="P101" s="3704"/>
      <c r="Q101" s="3739"/>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9"/>
      <c r="B103" s="3709"/>
      <c r="C103" s="3709"/>
      <c r="D103" s="3709"/>
      <c r="E103" s="3709"/>
      <c r="F103" s="3709"/>
      <c r="G103" s="3709"/>
      <c r="H103" s="3709"/>
      <c r="I103" s="3709"/>
      <c r="J103" s="3709"/>
      <c r="K103" s="3709"/>
      <c r="L103" s="3709"/>
      <c r="M103" s="3709"/>
      <c r="N103" s="3709"/>
      <c r="O103" s="3709"/>
      <c r="P103" s="3709"/>
      <c r="Q103" s="3706"/>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6" t="s">
        <v>2427</v>
      </c>
      <c r="C106" s="3746"/>
      <c r="D106" s="3746"/>
      <c r="N106" s="2069"/>
      <c r="O106" s="2032" t="s">
        <v>1731</v>
      </c>
      <c r="P106" s="3707"/>
      <c r="Q106" s="3711"/>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30" customHeight="1">
      <c r="A108" s="3704" t="s">
        <v>7119</v>
      </c>
      <c r="B108" s="3704"/>
      <c r="C108" s="3704"/>
      <c r="D108" s="3704"/>
      <c r="E108" s="3704"/>
      <c r="F108" s="3704"/>
      <c r="G108" s="3704"/>
      <c r="H108" s="3704"/>
      <c r="I108" s="3704"/>
      <c r="J108" s="3704"/>
      <c r="K108" s="3704"/>
      <c r="L108" s="3704"/>
      <c r="M108" s="3704"/>
      <c r="N108" s="3704"/>
      <c r="O108" s="3704"/>
      <c r="P108" s="3704"/>
      <c r="Q108" s="3739"/>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9"/>
      <c r="B110" s="3709"/>
      <c r="C110" s="3709"/>
      <c r="D110" s="3709"/>
      <c r="E110" s="3709"/>
      <c r="F110" s="3709"/>
      <c r="G110" s="3709"/>
      <c r="H110" s="3709"/>
      <c r="I110" s="3709"/>
      <c r="J110" s="3709"/>
      <c r="K110" s="3709"/>
      <c r="L110" s="3709"/>
      <c r="M110" s="3709"/>
      <c r="N110" s="3709"/>
      <c r="O110" s="3709"/>
      <c r="P110" s="3709"/>
      <c r="Q110" s="3706"/>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6791</v>
      </c>
      <c r="H114" s="2030" t="s">
        <v>6792</v>
      </c>
      <c r="J114" s="3750" t="s">
        <v>7055</v>
      </c>
      <c r="K114" s="3751"/>
      <c r="L114" s="3751"/>
      <c r="M114" s="3751"/>
      <c r="N114" s="3751"/>
      <c r="O114" s="3751"/>
      <c r="P114" s="3751"/>
      <c r="Q114" s="3752"/>
    </row>
    <row r="115" spans="1:21" ht="20.25" customHeight="1">
      <c r="A115" s="2053"/>
      <c r="B115" s="2053"/>
      <c r="H115" s="2030" t="s">
        <v>6793</v>
      </c>
      <c r="J115" s="3747" t="s">
        <v>7054</v>
      </c>
      <c r="K115" s="3748"/>
      <c r="L115" s="3748"/>
      <c r="M115" s="3748"/>
      <c r="N115" s="3748"/>
      <c r="O115" s="3748"/>
      <c r="P115" s="3748"/>
      <c r="Q115" s="3749"/>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4" t="s">
        <v>7120</v>
      </c>
      <c r="B117" s="3704"/>
      <c r="C117" s="3704"/>
      <c r="D117" s="3704"/>
      <c r="E117" s="3704"/>
      <c r="F117" s="3704"/>
      <c r="G117" s="3704"/>
      <c r="H117" s="3704"/>
      <c r="I117" s="3704"/>
      <c r="J117" s="3704"/>
      <c r="K117" s="3704"/>
      <c r="L117" s="3704"/>
      <c r="M117" s="3704"/>
      <c r="N117" s="3704"/>
      <c r="O117" s="3704"/>
      <c r="P117" s="3704"/>
      <c r="Q117" s="3739"/>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9"/>
      <c r="B119" s="3709"/>
      <c r="C119" s="3709"/>
      <c r="D119" s="3709"/>
      <c r="E119" s="3709"/>
      <c r="F119" s="3709"/>
      <c r="G119" s="3709"/>
      <c r="H119" s="3709"/>
      <c r="I119" s="3709"/>
      <c r="J119" s="3709"/>
      <c r="K119" s="3709"/>
      <c r="L119" s="3709"/>
      <c r="M119" s="3709"/>
      <c r="N119" s="3709"/>
      <c r="O119" s="3709"/>
      <c r="P119" s="3709"/>
      <c r="Q119" s="3710"/>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7"/>
      <c r="Q122" s="3711"/>
    </row>
    <row r="123" spans="1:21" ht="20.25" customHeight="1">
      <c r="A123" s="2053"/>
      <c r="B123" s="2030" t="s">
        <v>6795</v>
      </c>
      <c r="H123" s="2030" t="s">
        <v>6796</v>
      </c>
      <c r="J123" s="3750" t="s">
        <v>3181</v>
      </c>
      <c r="K123" s="3751"/>
      <c r="L123" s="3751"/>
      <c r="M123" s="3751"/>
      <c r="N123" s="3751"/>
      <c r="O123" s="3751"/>
      <c r="P123" s="3751"/>
      <c r="Q123" s="3752"/>
      <c r="R123" s="2084"/>
    </row>
    <row r="124" spans="1:21" ht="20.25" customHeight="1">
      <c r="A124" s="2083"/>
      <c r="B124" s="2053"/>
      <c r="H124" s="2030" t="s">
        <v>6797</v>
      </c>
      <c r="J124" s="3747" t="s">
        <v>3181</v>
      </c>
      <c r="K124" s="3748"/>
      <c r="L124" s="3748"/>
      <c r="M124" s="3748"/>
      <c r="N124" s="3748"/>
      <c r="O124" s="3748"/>
      <c r="P124" s="3748"/>
      <c r="Q124" s="3749"/>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32" customHeight="1">
      <c r="A126" s="3704" t="s">
        <v>7074</v>
      </c>
      <c r="B126" s="3704"/>
      <c r="C126" s="3704"/>
      <c r="D126" s="3704"/>
      <c r="E126" s="3704"/>
      <c r="F126" s="3704"/>
      <c r="G126" s="3704"/>
      <c r="H126" s="3704"/>
      <c r="I126" s="3704"/>
      <c r="J126" s="3704"/>
      <c r="K126" s="3704"/>
      <c r="L126" s="3704"/>
      <c r="M126" s="3704"/>
      <c r="N126" s="3704"/>
      <c r="O126" s="3704"/>
      <c r="P126" s="3704"/>
      <c r="Q126" s="3739"/>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9"/>
      <c r="B128" s="3709"/>
      <c r="C128" s="3709"/>
      <c r="D128" s="3709"/>
      <c r="E128" s="3709"/>
      <c r="F128" s="3709"/>
      <c r="G128" s="3709"/>
      <c r="H128" s="3709"/>
      <c r="I128" s="3709"/>
      <c r="J128" s="3709"/>
      <c r="K128" s="3709"/>
      <c r="L128" s="3709"/>
      <c r="M128" s="3709"/>
      <c r="N128" s="3709"/>
      <c r="O128" s="3709"/>
      <c r="P128" s="3709"/>
      <c r="Q128" s="3710"/>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7"/>
      <c r="Q131" s="3711"/>
    </row>
    <row r="132" spans="1:17" ht="31.5" customHeight="1">
      <c r="A132" s="2033"/>
      <c r="B132" s="3712" t="s">
        <v>6798</v>
      </c>
      <c r="C132" s="3712"/>
      <c r="D132" s="3712"/>
      <c r="E132" s="3712"/>
      <c r="F132" s="3712"/>
      <c r="G132" s="3712"/>
      <c r="H132" s="3712"/>
      <c r="I132" s="3712"/>
      <c r="J132" s="3712"/>
      <c r="K132" s="3712"/>
      <c r="L132" s="3712"/>
      <c r="M132" s="3712"/>
      <c r="N132" s="3712"/>
      <c r="O132" s="3713"/>
      <c r="P132" s="3721" t="s">
        <v>2649</v>
      </c>
      <c r="Q132" s="3722"/>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3" t="s">
        <v>7075</v>
      </c>
      <c r="N134" s="3754"/>
      <c r="O134" s="3754"/>
      <c r="P134" s="3754"/>
      <c r="Q134" s="3755"/>
    </row>
    <row r="135" spans="1:17" ht="20.25" customHeight="1">
      <c r="A135" s="2053"/>
      <c r="B135" s="2043"/>
      <c r="C135" s="2043" t="s">
        <v>6717</v>
      </c>
      <c r="E135" s="2043"/>
      <c r="F135" s="2043"/>
      <c r="G135" s="2043"/>
      <c r="H135" s="2043"/>
      <c r="J135" s="2044"/>
      <c r="K135" s="2033"/>
      <c r="L135" s="2033"/>
      <c r="M135" s="3756" t="s">
        <v>7076</v>
      </c>
      <c r="N135" s="3757"/>
      <c r="O135" s="3757"/>
      <c r="P135" s="3757"/>
      <c r="Q135" s="3758"/>
    </row>
    <row r="136" spans="1:17" ht="20.25" customHeight="1">
      <c r="A136" s="2053"/>
      <c r="B136" s="2043"/>
      <c r="C136" s="3759" t="s">
        <v>6192</v>
      </c>
      <c r="D136" s="3760"/>
      <c r="E136" s="3760"/>
      <c r="F136" s="3760"/>
      <c r="G136" s="3760"/>
      <c r="H136" s="3760"/>
      <c r="I136" s="3760"/>
      <c r="J136" s="3760"/>
      <c r="K136" s="3760"/>
      <c r="L136" s="3760"/>
      <c r="M136" s="3761"/>
      <c r="N136" s="3761"/>
      <c r="O136" s="3761"/>
      <c r="P136" s="3761"/>
      <c r="Q136" s="3762"/>
    </row>
    <row r="137" spans="1:17" ht="20.25" customHeight="1">
      <c r="A137" s="2053"/>
      <c r="B137" s="2043"/>
      <c r="C137" s="2043" t="s">
        <v>3785</v>
      </c>
      <c r="E137" s="2043"/>
      <c r="F137" s="2043"/>
      <c r="G137" s="2043"/>
      <c r="H137" s="2043"/>
      <c r="J137" s="2044"/>
      <c r="K137" s="2033"/>
      <c r="L137" s="2033"/>
      <c r="M137" s="3747" t="s">
        <v>7077</v>
      </c>
      <c r="N137" s="3748"/>
      <c r="O137" s="3748"/>
      <c r="P137" s="3748"/>
      <c r="Q137" s="3749"/>
    </row>
    <row r="138" spans="1:17" ht="20.25" customHeight="1">
      <c r="A138" s="2053" t="s">
        <v>1843</v>
      </c>
      <c r="B138" s="3712" t="s">
        <v>6800</v>
      </c>
      <c r="C138" s="3712"/>
      <c r="D138" s="3712"/>
      <c r="E138" s="3712"/>
      <c r="F138" s="3712"/>
      <c r="G138" s="3712"/>
      <c r="H138" s="3712"/>
      <c r="I138" s="3712"/>
      <c r="J138" s="3712"/>
      <c r="K138" s="3712"/>
      <c r="L138" s="3712"/>
      <c r="M138" s="3712"/>
      <c r="N138" s="3712"/>
      <c r="O138" s="2044"/>
      <c r="P138" s="2085"/>
      <c r="Q138" s="2026"/>
    </row>
    <row r="139" spans="1:17" ht="48" customHeight="1">
      <c r="A139" s="2071"/>
      <c r="B139" s="2036"/>
      <c r="C139" s="3712" t="s">
        <v>6801</v>
      </c>
      <c r="D139" s="3712"/>
      <c r="E139" s="3712"/>
      <c r="F139" s="3712"/>
      <c r="G139" s="3712"/>
      <c r="H139" s="3712"/>
      <c r="I139" s="3712"/>
      <c r="J139" s="3712"/>
      <c r="K139" s="3712"/>
      <c r="L139" s="3712"/>
      <c r="M139" s="3712"/>
      <c r="N139" s="3712"/>
      <c r="O139" s="3712"/>
      <c r="P139" s="2085"/>
      <c r="Q139" s="2026"/>
    </row>
    <row r="140" spans="1:17" ht="15.75" customHeight="1">
      <c r="A140" s="2026"/>
      <c r="B140" s="2078" t="s">
        <v>1614</v>
      </c>
      <c r="C140" s="3768" t="s">
        <v>3850</v>
      </c>
      <c r="D140" s="3769"/>
      <c r="E140" s="3769"/>
      <c r="F140" s="3769"/>
      <c r="G140" s="3769"/>
      <c r="H140" s="3770"/>
      <c r="I140" s="2033"/>
      <c r="J140" s="3780" t="s">
        <v>6802</v>
      </c>
      <c r="K140" s="3781"/>
      <c r="L140" s="3781"/>
      <c r="M140" s="3781"/>
      <c r="N140" s="3781"/>
      <c r="O140" s="3781"/>
      <c r="P140" s="3781"/>
      <c r="Q140" s="3782"/>
    </row>
    <row r="141" spans="1:17" ht="15.75" customHeight="1">
      <c r="A141" s="2026"/>
      <c r="B141" s="2078" t="s">
        <v>1615</v>
      </c>
      <c r="C141" s="3771" t="s">
        <v>3899</v>
      </c>
      <c r="D141" s="3772"/>
      <c r="E141" s="3772"/>
      <c r="F141" s="3772"/>
      <c r="G141" s="3772"/>
      <c r="H141" s="3773"/>
      <c r="I141" s="2033"/>
      <c r="J141" s="3777" t="s">
        <v>6802</v>
      </c>
      <c r="K141" s="3778"/>
      <c r="L141" s="3778"/>
      <c r="M141" s="3778"/>
      <c r="N141" s="3778"/>
      <c r="O141" s="3778"/>
      <c r="P141" s="3778"/>
      <c r="Q141" s="3779"/>
    </row>
    <row r="142" spans="1:17" ht="15.75" customHeight="1">
      <c r="A142" s="2026"/>
      <c r="B142" s="2078" t="s">
        <v>1616</v>
      </c>
      <c r="C142" s="3771" t="s">
        <v>950</v>
      </c>
      <c r="D142" s="3772"/>
      <c r="E142" s="3772"/>
      <c r="F142" s="3772"/>
      <c r="G142" s="3772"/>
      <c r="H142" s="3773"/>
      <c r="I142" s="2033"/>
      <c r="J142" s="3777" t="s">
        <v>6802</v>
      </c>
      <c r="K142" s="3778"/>
      <c r="L142" s="3778"/>
      <c r="M142" s="3778"/>
      <c r="N142" s="3778"/>
      <c r="O142" s="3778"/>
      <c r="P142" s="3778"/>
      <c r="Q142" s="3779"/>
    </row>
    <row r="143" spans="1:17" ht="15.75" customHeight="1">
      <c r="A143" s="2026"/>
      <c r="B143" s="2078" t="s">
        <v>2182</v>
      </c>
      <c r="C143" s="3763" t="s">
        <v>950</v>
      </c>
      <c r="D143" s="3764"/>
      <c r="E143" s="3764"/>
      <c r="F143" s="3764"/>
      <c r="G143" s="3764"/>
      <c r="H143" s="3765"/>
      <c r="I143" s="2033"/>
      <c r="J143" s="3774" t="s">
        <v>6802</v>
      </c>
      <c r="K143" s="3775"/>
      <c r="L143" s="3775"/>
      <c r="M143" s="3775"/>
      <c r="N143" s="3775"/>
      <c r="O143" s="3775"/>
      <c r="P143" s="3775"/>
      <c r="Q143" s="3776"/>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4" t="s">
        <v>7079</v>
      </c>
      <c r="B145" s="3704"/>
      <c r="C145" s="3704"/>
      <c r="D145" s="3704"/>
      <c r="E145" s="3704"/>
      <c r="F145" s="3704"/>
      <c r="G145" s="3704"/>
      <c r="H145" s="3704"/>
      <c r="I145" s="3704"/>
      <c r="J145" s="3704"/>
      <c r="K145" s="3704"/>
      <c r="L145" s="3704"/>
      <c r="M145" s="3704"/>
      <c r="N145" s="3704"/>
      <c r="O145" s="3704"/>
      <c r="P145" s="3704"/>
      <c r="Q145" s="3739"/>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9"/>
      <c r="B147" s="3709"/>
      <c r="C147" s="3709"/>
      <c r="D147" s="3709"/>
      <c r="E147" s="3709"/>
      <c r="F147" s="3709"/>
      <c r="G147" s="3709"/>
      <c r="H147" s="3709"/>
      <c r="I147" s="3709"/>
      <c r="J147" s="3709"/>
      <c r="K147" s="3709"/>
      <c r="L147" s="3709"/>
      <c r="M147" s="3709"/>
      <c r="N147" s="3709"/>
      <c r="O147" s="3709"/>
      <c r="P147" s="3709"/>
      <c r="Q147" s="3706"/>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6803</v>
      </c>
      <c r="C151" s="2033"/>
      <c r="D151" s="2033"/>
      <c r="E151" s="2033"/>
      <c r="F151" s="2033"/>
      <c r="G151" s="2033"/>
      <c r="H151" s="2033"/>
      <c r="I151" s="2033"/>
      <c r="J151" s="2033"/>
      <c r="K151" s="2033"/>
      <c r="L151" s="2033"/>
      <c r="M151" s="2033"/>
      <c r="N151" s="2031"/>
      <c r="O151" s="2033"/>
      <c r="P151" s="3766"/>
      <c r="Q151" s="3767"/>
    </row>
    <row r="152" spans="1:18" ht="20.25" customHeight="1">
      <c r="A152" s="2053"/>
      <c r="B152" s="2030" t="s">
        <v>1192</v>
      </c>
      <c r="G152" s="2033"/>
      <c r="H152" s="3790" t="s">
        <v>1646</v>
      </c>
      <c r="I152" s="3791"/>
      <c r="J152" s="3791"/>
      <c r="K152" s="3791"/>
      <c r="L152" s="3791"/>
      <c r="M152" s="3791"/>
      <c r="N152" s="3791"/>
      <c r="O152" s="3791"/>
      <c r="P152" s="3792"/>
      <c r="Q152" s="3793"/>
      <c r="R152" s="2062"/>
    </row>
    <row r="153" spans="1:18" ht="20.25" customHeight="1">
      <c r="A153" s="2053"/>
      <c r="B153" s="2030" t="s">
        <v>1806</v>
      </c>
      <c r="G153" s="2033"/>
      <c r="H153" s="3794"/>
      <c r="I153" s="3795"/>
      <c r="J153" s="3795"/>
      <c r="K153" s="3795"/>
      <c r="L153" s="3795"/>
      <c r="M153" s="3795"/>
      <c r="N153" s="3795"/>
      <c r="O153" s="3795"/>
      <c r="P153" s="3795"/>
      <c r="Q153" s="3796"/>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4" t="s">
        <v>7078</v>
      </c>
      <c r="B155" s="3704"/>
      <c r="C155" s="3704"/>
      <c r="D155" s="3704"/>
      <c r="E155" s="3704"/>
      <c r="F155" s="3704"/>
      <c r="G155" s="3704"/>
      <c r="H155" s="3704"/>
      <c r="I155" s="3704"/>
      <c r="J155" s="3704"/>
      <c r="K155" s="3704"/>
      <c r="L155" s="3704"/>
      <c r="M155" s="3704"/>
      <c r="N155" s="3704"/>
      <c r="O155" s="3704"/>
      <c r="P155" s="3704"/>
      <c r="Q155" s="3739"/>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9"/>
      <c r="B157" s="3709"/>
      <c r="C157" s="3709"/>
      <c r="D157" s="3709"/>
      <c r="E157" s="3709"/>
      <c r="F157" s="3709"/>
      <c r="G157" s="3709"/>
      <c r="H157" s="3709"/>
      <c r="I157" s="3709"/>
      <c r="J157" s="3709"/>
      <c r="K157" s="3709"/>
      <c r="L157" s="3709"/>
      <c r="M157" s="3709"/>
      <c r="N157" s="3709"/>
      <c r="O157" s="3709"/>
      <c r="P157" s="3709"/>
      <c r="Q157" s="3706"/>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7"/>
      <c r="Q160" s="3711"/>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46" customHeight="1">
      <c r="A162" s="3704" t="s">
        <v>7121</v>
      </c>
      <c r="B162" s="3704"/>
      <c r="C162" s="3704"/>
      <c r="D162" s="3704"/>
      <c r="E162" s="3704"/>
      <c r="F162" s="3704"/>
      <c r="G162" s="3704"/>
      <c r="H162" s="3704"/>
      <c r="I162" s="3704"/>
      <c r="J162" s="3704"/>
      <c r="K162" s="3704"/>
      <c r="L162" s="3704"/>
      <c r="M162" s="3704"/>
      <c r="N162" s="3704"/>
      <c r="O162" s="3704"/>
      <c r="P162" s="3704"/>
      <c r="Q162" s="3739"/>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9"/>
      <c r="B164" s="3709"/>
      <c r="C164" s="3709"/>
      <c r="D164" s="3709"/>
      <c r="E164" s="3709"/>
      <c r="F164" s="3709"/>
      <c r="G164" s="3709"/>
      <c r="H164" s="3709"/>
      <c r="I164" s="3709"/>
      <c r="J164" s="3709"/>
      <c r="K164" s="3709"/>
      <c r="L164" s="3709"/>
      <c r="M164" s="3709"/>
      <c r="N164" s="3709"/>
      <c r="O164" s="3709"/>
      <c r="P164" s="3709"/>
      <c r="Q164" s="3706"/>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7"/>
      <c r="Q167" s="3711"/>
    </row>
    <row r="168" spans="1:17" ht="20.25" customHeight="1">
      <c r="A168" s="2053" t="s">
        <v>1841</v>
      </c>
      <c r="B168" s="2029" t="s">
        <v>6197</v>
      </c>
      <c r="G168" s="2033"/>
      <c r="J168" s="2033"/>
      <c r="K168" s="2033"/>
      <c r="L168" s="2033"/>
      <c r="M168" s="2033"/>
      <c r="N168" s="2033"/>
      <c r="O168" s="2044"/>
      <c r="P168" s="2033"/>
      <c r="Q168" s="2033"/>
    </row>
    <row r="169" spans="1:17" ht="33" customHeight="1">
      <c r="B169" s="3787" t="s">
        <v>6804</v>
      </c>
      <c r="C169" s="3787"/>
      <c r="D169" s="3787"/>
      <c r="E169" s="3787"/>
      <c r="F169" s="3787"/>
      <c r="G169" s="3787"/>
      <c r="H169" s="3787"/>
      <c r="I169" s="3787"/>
      <c r="J169" s="3787"/>
      <c r="K169" s="3787"/>
      <c r="L169" s="3787"/>
      <c r="M169" s="3787"/>
      <c r="N169" s="3787"/>
      <c r="O169" s="3797"/>
      <c r="P169" s="3783" t="s">
        <v>7058</v>
      </c>
      <c r="Q169" s="3784"/>
    </row>
    <row r="170" spans="1:17" ht="20.25" customHeight="1">
      <c r="A170" s="2053" t="s">
        <v>1843</v>
      </c>
      <c r="B170" s="2029" t="s">
        <v>297</v>
      </c>
      <c r="G170" s="2033"/>
      <c r="H170" s="3785" t="s">
        <v>3332</v>
      </c>
      <c r="I170" s="3785"/>
      <c r="J170" s="3785"/>
      <c r="K170" s="3785"/>
      <c r="L170" s="3785"/>
      <c r="M170" s="3785"/>
      <c r="N170" s="3785"/>
      <c r="O170" s="3785"/>
      <c r="P170" s="3786"/>
      <c r="Q170" s="3786"/>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7" t="s">
        <v>6198</v>
      </c>
      <c r="C172" s="3787"/>
      <c r="D172" s="3787"/>
      <c r="E172" s="3787"/>
      <c r="F172" s="3787"/>
      <c r="G172" s="3787"/>
      <c r="H172" s="3787"/>
      <c r="I172" s="3787"/>
      <c r="J172" s="3787"/>
      <c r="K172" s="3787"/>
      <c r="L172" s="3787"/>
      <c r="M172" s="3787"/>
      <c r="N172" s="2439" t="s">
        <v>6199</v>
      </c>
      <c r="O172" s="2078" t="s">
        <v>698</v>
      </c>
      <c r="P172" s="3788" t="s">
        <v>7058</v>
      </c>
      <c r="Q172" s="3789"/>
    </row>
    <row r="173" spans="1:17" ht="20.25" customHeight="1">
      <c r="B173" s="2060" t="s">
        <v>3239</v>
      </c>
      <c r="M173" s="2031"/>
      <c r="N173" s="2031"/>
      <c r="O173" s="2088"/>
      <c r="P173" s="2026"/>
    </row>
    <row r="174" spans="1:17" ht="34" customHeight="1">
      <c r="A174" s="3704" t="s">
        <v>7084</v>
      </c>
      <c r="B174" s="3704"/>
      <c r="C174" s="3704"/>
      <c r="D174" s="3704"/>
      <c r="E174" s="3704"/>
      <c r="F174" s="3704"/>
      <c r="G174" s="3704"/>
      <c r="H174" s="3704"/>
      <c r="I174" s="3704"/>
      <c r="J174" s="3704"/>
      <c r="K174" s="3704"/>
      <c r="L174" s="3704"/>
      <c r="M174" s="3704"/>
      <c r="N174" s="3704"/>
      <c r="O174" s="3704"/>
      <c r="P174" s="3704"/>
      <c r="Q174" s="3739"/>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9"/>
      <c r="B176" s="3709"/>
      <c r="C176" s="3709"/>
      <c r="D176" s="3709"/>
      <c r="E176" s="3709"/>
      <c r="F176" s="3709"/>
      <c r="G176" s="3709"/>
      <c r="H176" s="3709"/>
      <c r="I176" s="3709"/>
      <c r="J176" s="3709"/>
      <c r="K176" s="3709"/>
      <c r="L176" s="3709"/>
      <c r="M176" s="3709"/>
      <c r="N176" s="3709"/>
      <c r="O176" s="3709"/>
      <c r="P176" s="3709"/>
      <c r="Q176" s="3710"/>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5"/>
      <c r="Q179" s="3804"/>
    </row>
    <row r="180" spans="1:17" ht="20.25" customHeight="1">
      <c r="A180" s="2033"/>
      <c r="B180" s="2030" t="s">
        <v>6803</v>
      </c>
      <c r="C180" s="2033"/>
      <c r="D180" s="2033"/>
      <c r="E180" s="2033"/>
      <c r="F180" s="2033"/>
      <c r="G180" s="2033"/>
      <c r="H180" s="2033"/>
      <c r="I180" s="2033"/>
      <c r="J180" s="2033"/>
      <c r="K180" s="2033"/>
      <c r="L180" s="2033"/>
      <c r="M180" s="2033"/>
      <c r="N180" s="2031"/>
      <c r="O180" s="2033"/>
      <c r="P180" s="3766" t="s">
        <v>2652</v>
      </c>
      <c r="Q180" s="3799"/>
    </row>
    <row r="181" spans="1:17" ht="33.75" customHeight="1">
      <c r="A181" s="2033"/>
      <c r="B181" s="3712" t="s">
        <v>6805</v>
      </c>
      <c r="C181" s="3712"/>
      <c r="D181" s="3712"/>
      <c r="E181" s="3712"/>
      <c r="F181" s="3712"/>
      <c r="G181" s="3712"/>
      <c r="H181" s="3712"/>
      <c r="I181" s="3712"/>
      <c r="J181" s="3712"/>
      <c r="K181" s="3712"/>
      <c r="L181" s="3712"/>
      <c r="M181" s="3712"/>
      <c r="N181" s="3712"/>
      <c r="O181" s="3712"/>
      <c r="P181" s="3802" t="s">
        <v>7058</v>
      </c>
      <c r="Q181" s="3805"/>
    </row>
    <row r="182" spans="1:17" ht="12" customHeight="1">
      <c r="A182" s="2033"/>
      <c r="C182" s="2033"/>
      <c r="D182" s="2033"/>
      <c r="E182" s="2033"/>
      <c r="F182" s="2033"/>
      <c r="G182" s="2033"/>
      <c r="H182" s="2033"/>
      <c r="I182" s="2033"/>
      <c r="J182" s="2033"/>
      <c r="K182" s="2033"/>
      <c r="L182" s="3798" t="s">
        <v>6806</v>
      </c>
      <c r="M182" s="3798"/>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66">
        <v>5</v>
      </c>
      <c r="Q184" s="3799"/>
    </row>
    <row r="185" spans="1:17" ht="20.25" customHeight="1">
      <c r="A185" s="2053"/>
      <c r="B185" s="2043"/>
      <c r="D185" s="3712" t="s">
        <v>6810</v>
      </c>
      <c r="E185" s="3712"/>
      <c r="F185" s="3712"/>
      <c r="G185" s="3712"/>
      <c r="H185" s="3712"/>
      <c r="I185" s="3712"/>
      <c r="J185" s="3712"/>
      <c r="K185" s="2093"/>
      <c r="L185" s="2096">
        <f>ROUNDUP(L184*M185,0)</f>
        <v>2</v>
      </c>
      <c r="M185" s="2095">
        <f>'DCA Underwriting Assumptions'!$Q$123</f>
        <v>0.4</v>
      </c>
      <c r="N185" s="2033"/>
      <c r="O185" s="2044"/>
      <c r="P185" s="3800">
        <v>2</v>
      </c>
      <c r="Q185" s="3801"/>
    </row>
    <row r="186" spans="1:17" ht="20.25" customHeight="1">
      <c r="A186" s="2053"/>
      <c r="B186" s="3712" t="s">
        <v>6811</v>
      </c>
      <c r="C186" s="3712"/>
      <c r="D186" s="3712"/>
      <c r="E186" s="3712"/>
      <c r="F186" s="3712"/>
      <c r="G186" s="3712"/>
      <c r="H186" s="3712"/>
      <c r="I186" s="3712"/>
      <c r="J186" s="3712"/>
      <c r="K186" s="2033"/>
      <c r="L186" s="2097">
        <f>ROUNDUP('Part V-Revenues &amp; Expenses'!$P$67*M186,0)</f>
        <v>1</v>
      </c>
      <c r="M186" s="2095">
        <f>'DCA Underwriting Assumptions'!$Q$124</f>
        <v>0.02</v>
      </c>
      <c r="N186" s="2033"/>
      <c r="O186" s="2044"/>
      <c r="P186" s="3802">
        <v>1</v>
      </c>
      <c r="Q186" s="3803"/>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32" customHeight="1">
      <c r="A188" s="3704" t="s">
        <v>7112</v>
      </c>
      <c r="B188" s="3704"/>
      <c r="C188" s="3704"/>
      <c r="D188" s="3704"/>
      <c r="E188" s="3704"/>
      <c r="F188" s="3704"/>
      <c r="G188" s="3704"/>
      <c r="H188" s="3704"/>
      <c r="I188" s="3704"/>
      <c r="J188" s="3704"/>
      <c r="K188" s="3704"/>
      <c r="L188" s="3704"/>
      <c r="M188" s="3704"/>
      <c r="N188" s="3704"/>
      <c r="O188" s="3704"/>
      <c r="P188" s="3704"/>
      <c r="Q188" s="3705"/>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9"/>
      <c r="B190" s="3709"/>
      <c r="C190" s="3709"/>
      <c r="D190" s="3709"/>
      <c r="E190" s="3709"/>
      <c r="F190" s="3709"/>
      <c r="G190" s="3709"/>
      <c r="H190" s="3709"/>
      <c r="I190" s="3709"/>
      <c r="J190" s="3709"/>
      <c r="K190" s="3709"/>
      <c r="L190" s="3709"/>
      <c r="M190" s="3709"/>
      <c r="N190" s="3709"/>
      <c r="O190" s="3709"/>
      <c r="P190" s="3709"/>
      <c r="Q190" s="3710"/>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7"/>
      <c r="Q193" s="3708"/>
    </row>
    <row r="194" spans="1:17" ht="20.25" customHeight="1">
      <c r="B194" s="2030" t="s">
        <v>6803</v>
      </c>
      <c r="P194" s="3766" t="s">
        <v>2652</v>
      </c>
      <c r="Q194" s="3799"/>
    </row>
    <row r="195" spans="1:17" ht="36" customHeight="1">
      <c r="B195" s="3712" t="s">
        <v>6812</v>
      </c>
      <c r="C195" s="3712"/>
      <c r="D195" s="3712"/>
      <c r="E195" s="3712"/>
      <c r="F195" s="3712"/>
      <c r="G195" s="3712"/>
      <c r="H195" s="3712"/>
      <c r="I195" s="3712"/>
      <c r="J195" s="3712"/>
      <c r="K195" s="3712"/>
      <c r="L195" s="3712"/>
      <c r="M195" s="3712"/>
      <c r="N195" s="3712"/>
      <c r="P195" s="3802" t="s">
        <v>2649</v>
      </c>
      <c r="Q195" s="3803"/>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7" t="s">
        <v>6911</v>
      </c>
      <c r="D197" s="3787"/>
      <c r="E197" s="3787"/>
      <c r="F197" s="3714" t="s">
        <v>6304</v>
      </c>
      <c r="G197" s="3715"/>
      <c r="H197" s="3715"/>
      <c r="I197" s="3715"/>
      <c r="J197" s="3715"/>
      <c r="K197" s="3715"/>
      <c r="L197" s="3715"/>
      <c r="M197" s="3715"/>
      <c r="N197" s="3715"/>
      <c r="O197" s="3715"/>
      <c r="P197" s="3715"/>
      <c r="Q197" s="3716"/>
    </row>
    <row r="198" spans="1:17" ht="30" customHeight="1">
      <c r="B198" s="2078" t="s">
        <v>1615</v>
      </c>
      <c r="C198" s="3787" t="s">
        <v>6912</v>
      </c>
      <c r="D198" s="3787"/>
      <c r="E198" s="3787"/>
      <c r="F198" s="3787"/>
      <c r="G198" s="3797"/>
      <c r="H198" s="3714" t="s">
        <v>3248</v>
      </c>
      <c r="I198" s="3715"/>
      <c r="J198" s="3715"/>
      <c r="K198" s="3715"/>
      <c r="L198" s="3715"/>
      <c r="M198" s="3715"/>
      <c r="N198" s="3715"/>
      <c r="O198" s="3715"/>
      <c r="P198" s="3715"/>
      <c r="Q198" s="3716"/>
    </row>
    <row r="199" spans="1:17" ht="20.25" customHeight="1">
      <c r="A199" s="2053"/>
      <c r="B199" s="2078" t="s">
        <v>1616</v>
      </c>
      <c r="C199" s="3712" t="s">
        <v>6813</v>
      </c>
      <c r="D199" s="3712"/>
      <c r="E199" s="3712"/>
      <c r="F199" s="3712"/>
      <c r="G199" s="3712"/>
      <c r="H199" s="3712"/>
      <c r="I199" s="3712"/>
      <c r="J199" s="3712"/>
      <c r="K199" s="3712"/>
      <c r="L199" s="3712"/>
      <c r="M199" s="3712"/>
      <c r="N199" s="3712"/>
      <c r="O199" s="3712"/>
      <c r="P199" s="3712"/>
      <c r="Q199" s="3712"/>
    </row>
    <row r="200" spans="1:17" ht="20.25" customHeight="1">
      <c r="A200" s="2053"/>
      <c r="B200" s="2044"/>
      <c r="C200" s="3790"/>
      <c r="D200" s="3790"/>
      <c r="E200" s="3790"/>
      <c r="F200" s="3790"/>
      <c r="G200" s="3790"/>
      <c r="H200" s="3790"/>
      <c r="I200" s="3790"/>
      <c r="J200" s="3790"/>
      <c r="K200" s="3790"/>
      <c r="L200" s="3790"/>
      <c r="M200" s="3790"/>
      <c r="N200" s="3790"/>
      <c r="O200" s="3790"/>
      <c r="P200" s="3790"/>
      <c r="Q200" s="3806"/>
    </row>
    <row r="201" spans="1:17" ht="20.25" customHeight="1">
      <c r="A201" s="2053"/>
      <c r="B201" s="2044"/>
      <c r="C201" s="3794"/>
      <c r="D201" s="3794"/>
      <c r="E201" s="3794"/>
      <c r="F201" s="3794"/>
      <c r="G201" s="3794"/>
      <c r="H201" s="3794"/>
      <c r="I201" s="3794"/>
      <c r="J201" s="3794"/>
      <c r="K201" s="3794"/>
      <c r="L201" s="3794"/>
      <c r="M201" s="3794"/>
      <c r="N201" s="3794"/>
      <c r="O201" s="3794"/>
      <c r="P201" s="3794"/>
      <c r="Q201" s="381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30" customHeight="1">
      <c r="A203" s="3704" t="s">
        <v>7122</v>
      </c>
      <c r="B203" s="3704"/>
      <c r="C203" s="3704"/>
      <c r="D203" s="3704"/>
      <c r="E203" s="3704"/>
      <c r="F203" s="3704"/>
      <c r="G203" s="3704"/>
      <c r="H203" s="3704"/>
      <c r="I203" s="3704"/>
      <c r="J203" s="3704"/>
      <c r="K203" s="3704"/>
      <c r="L203" s="3704"/>
      <c r="M203" s="3704"/>
      <c r="N203" s="3704"/>
      <c r="O203" s="3704"/>
      <c r="P203" s="3704"/>
      <c r="Q203" s="3705"/>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9"/>
      <c r="B205" s="3709"/>
      <c r="C205" s="3709"/>
      <c r="D205" s="3709"/>
      <c r="E205" s="3709"/>
      <c r="F205" s="3709"/>
      <c r="G205" s="3709"/>
      <c r="H205" s="3709"/>
      <c r="I205" s="3709"/>
      <c r="J205" s="3709"/>
      <c r="K205" s="3709"/>
      <c r="L205" s="3709"/>
      <c r="M205" s="3709"/>
      <c r="N205" s="3709"/>
      <c r="O205" s="3709"/>
      <c r="P205" s="3709"/>
      <c r="Q205" s="3710"/>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5"/>
      <c r="Q208" s="3804"/>
    </row>
    <row r="209" spans="1:17" ht="20.25" customHeight="1">
      <c r="A209" s="2053"/>
      <c r="B209" s="2030" t="s">
        <v>6814</v>
      </c>
      <c r="O209" s="2044"/>
      <c r="P209" s="3812" t="s">
        <v>7056</v>
      </c>
      <c r="Q209" s="3813"/>
    </row>
    <row r="210" spans="1:17" ht="20.25" customHeight="1">
      <c r="A210" s="2053"/>
      <c r="B210" s="2030" t="s">
        <v>6815</v>
      </c>
      <c r="O210" s="2044"/>
      <c r="P210" s="3807" t="s">
        <v>7056</v>
      </c>
      <c r="Q210" s="3808"/>
    </row>
    <row r="211" spans="1:17" ht="22.5" customHeight="1">
      <c r="A211" s="2053"/>
      <c r="B211" s="2030" t="s">
        <v>6816</v>
      </c>
      <c r="C211" s="2033"/>
      <c r="K211" s="2031"/>
      <c r="M211" s="2044"/>
      <c r="O211" s="2100"/>
      <c r="P211" s="3807" t="s">
        <v>2652</v>
      </c>
      <c r="Q211" s="3808"/>
    </row>
    <row r="212" spans="1:17" ht="31.5" customHeight="1">
      <c r="A212" s="2053"/>
      <c r="B212" s="3712" t="s">
        <v>6817</v>
      </c>
      <c r="C212" s="3712"/>
      <c r="D212" s="3712"/>
      <c r="E212" s="3712"/>
      <c r="F212" s="3712"/>
      <c r="G212" s="3712"/>
      <c r="H212" s="3712"/>
      <c r="I212" s="3712"/>
      <c r="J212" s="3712"/>
      <c r="K212" s="3712"/>
      <c r="L212" s="3712"/>
      <c r="M212" s="3712"/>
      <c r="N212" s="3712"/>
      <c r="O212" s="3712"/>
      <c r="P212" s="3809" t="s">
        <v>2652</v>
      </c>
      <c r="Q212" s="3810"/>
    </row>
    <row r="213" spans="1:17" ht="20.25" customHeight="1">
      <c r="A213" s="2053"/>
      <c r="B213" s="2030" t="s">
        <v>6818</v>
      </c>
      <c r="M213" s="2033"/>
      <c r="N213" s="2033"/>
      <c r="O213" s="3814" t="s">
        <v>4047</v>
      </c>
      <c r="P213" s="3815"/>
      <c r="Q213" s="3816"/>
    </row>
    <row r="214" spans="1:17" ht="20.25" customHeight="1">
      <c r="A214" s="2053"/>
      <c r="B214" s="2029" t="s">
        <v>6819</v>
      </c>
      <c r="G214" s="3707"/>
      <c r="H214" s="3744"/>
      <c r="I214" s="3744"/>
      <c r="J214" s="3744"/>
      <c r="K214" s="3744"/>
      <c r="L214" s="374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34" customHeight="1">
      <c r="A216" s="3723" t="s">
        <v>7057</v>
      </c>
      <c r="B216" s="3726"/>
      <c r="C216" s="3726"/>
      <c r="D216" s="3726"/>
      <c r="E216" s="3726"/>
      <c r="F216" s="3726"/>
      <c r="G216" s="3726"/>
      <c r="H216" s="3726"/>
      <c r="I216" s="3726"/>
      <c r="J216" s="3726"/>
      <c r="K216" s="3726"/>
      <c r="L216" s="3726"/>
      <c r="M216" s="3726"/>
      <c r="N216" s="3726"/>
      <c r="O216" s="3726"/>
      <c r="P216" s="3726"/>
      <c r="Q216" s="3727"/>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8"/>
      <c r="B218" s="3729"/>
      <c r="C218" s="3729"/>
      <c r="D218" s="3729"/>
      <c r="E218" s="3729"/>
      <c r="F218" s="3729"/>
      <c r="G218" s="3729"/>
      <c r="H218" s="3729"/>
      <c r="I218" s="3729"/>
      <c r="J218" s="3729"/>
      <c r="K218" s="3729"/>
      <c r="L218" s="3729"/>
      <c r="M218" s="3729"/>
      <c r="N218" s="3729"/>
      <c r="O218" s="3729"/>
      <c r="P218" s="3729"/>
      <c r="Q218" s="3730"/>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7"/>
      <c r="Q221" s="3708"/>
    </row>
    <row r="222" spans="1:17" ht="33.75" customHeight="1">
      <c r="A222" s="2042"/>
      <c r="B222" s="3712" t="s">
        <v>6820</v>
      </c>
      <c r="C222" s="3712"/>
      <c r="D222" s="3712"/>
      <c r="E222" s="3712"/>
      <c r="F222" s="3712"/>
      <c r="G222" s="3712"/>
      <c r="H222" s="3712"/>
      <c r="I222" s="3712"/>
      <c r="J222" s="3712"/>
      <c r="K222" s="3712"/>
      <c r="L222" s="3712"/>
      <c r="M222" s="3712"/>
      <c r="N222" s="3712"/>
      <c r="O222" s="3713"/>
      <c r="P222" s="3824"/>
      <c r="Q222" s="3825"/>
    </row>
    <row r="223" spans="1:17" s="2102" customFormat="1" ht="33.75" customHeight="1">
      <c r="A223" s="2071" t="s">
        <v>1841</v>
      </c>
      <c r="B223" s="3826" t="s">
        <v>6821</v>
      </c>
      <c r="C223" s="3826"/>
      <c r="D223" s="3826"/>
      <c r="E223" s="3826"/>
      <c r="F223" s="3826"/>
      <c r="G223" s="3826"/>
      <c r="H223" s="3826"/>
      <c r="I223" s="3826"/>
      <c r="J223" s="3826"/>
      <c r="K223" s="3826"/>
      <c r="L223" s="3826"/>
      <c r="M223" s="3826"/>
      <c r="N223" s="3826"/>
      <c r="O223" s="3826"/>
      <c r="P223" s="2063"/>
      <c r="Q223" s="2440"/>
    </row>
    <row r="224" spans="1:17" ht="47.25" customHeight="1">
      <c r="A224" s="2071" t="s">
        <v>1843</v>
      </c>
      <c r="B224" s="3787" t="s">
        <v>6822</v>
      </c>
      <c r="C224" s="3787"/>
      <c r="D224" s="3787"/>
      <c r="E224" s="3787"/>
      <c r="F224" s="3787"/>
      <c r="G224" s="3787"/>
      <c r="H224" s="3787"/>
      <c r="I224" s="3787"/>
      <c r="J224" s="3787"/>
      <c r="K224" s="3787"/>
      <c r="L224" s="3787"/>
      <c r="M224" s="3787"/>
      <c r="N224" s="3787"/>
      <c r="O224" s="3787"/>
      <c r="P224" s="2063"/>
      <c r="Q224" s="2064"/>
    </row>
    <row r="225" spans="1:17" ht="20.25" customHeight="1">
      <c r="A225" s="2053" t="s">
        <v>698</v>
      </c>
      <c r="B225" s="3817" t="s">
        <v>6823</v>
      </c>
      <c r="C225" s="3817"/>
      <c r="D225" s="3817"/>
      <c r="E225" s="3817"/>
      <c r="F225" s="3817"/>
      <c r="G225" s="3817"/>
      <c r="H225" s="3817"/>
      <c r="I225" s="3817"/>
      <c r="J225" s="3817"/>
      <c r="K225" s="3817"/>
      <c r="L225" s="3817"/>
      <c r="M225" s="3817"/>
      <c r="N225" s="3817"/>
      <c r="O225" s="3817"/>
      <c r="P225" s="2063"/>
      <c r="Q225" s="2064"/>
    </row>
    <row r="226" spans="1:17" ht="33.75" customHeight="1">
      <c r="A226" s="2071" t="s">
        <v>1962</v>
      </c>
      <c r="B226" s="3787" t="s">
        <v>6824</v>
      </c>
      <c r="C226" s="3787"/>
      <c r="D226" s="3787"/>
      <c r="E226" s="3787"/>
      <c r="F226" s="3787"/>
      <c r="G226" s="3787"/>
      <c r="H226" s="3787"/>
      <c r="I226" s="3787"/>
      <c r="J226" s="3787"/>
      <c r="K226" s="3787"/>
      <c r="L226" s="3787"/>
      <c r="M226" s="3787"/>
      <c r="N226" s="3787"/>
      <c r="O226" s="3787"/>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3" t="s">
        <v>7080</v>
      </c>
      <c r="B228" s="3724"/>
      <c r="C228" s="3724"/>
      <c r="D228" s="3724"/>
      <c r="E228" s="3724"/>
      <c r="F228" s="3724"/>
      <c r="G228" s="3724"/>
      <c r="H228" s="3724"/>
      <c r="I228" s="3724"/>
      <c r="J228" s="3724"/>
      <c r="K228" s="3724"/>
      <c r="L228" s="3724"/>
      <c r="M228" s="3724"/>
      <c r="N228" s="3724"/>
      <c r="O228" s="3724"/>
      <c r="P228" s="3724"/>
      <c r="Q228" s="3725"/>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8"/>
      <c r="B230" s="3818"/>
      <c r="C230" s="3818"/>
      <c r="D230" s="3818"/>
      <c r="E230" s="3818"/>
      <c r="F230" s="3818"/>
      <c r="G230" s="3818"/>
      <c r="H230" s="3818"/>
      <c r="I230" s="3818"/>
      <c r="J230" s="3818"/>
      <c r="K230" s="3818"/>
      <c r="L230" s="3818"/>
      <c r="M230" s="3818"/>
      <c r="N230" s="3818"/>
      <c r="O230" s="3818"/>
      <c r="P230" s="3818"/>
      <c r="Q230" s="3819"/>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7"/>
      <c r="Q233" s="3745"/>
    </row>
    <row r="234" spans="1:17" ht="20.25" customHeight="1">
      <c r="A234" s="2053"/>
      <c r="B234" s="3817" t="s">
        <v>3358</v>
      </c>
      <c r="C234" s="3817"/>
      <c r="D234" s="3817"/>
      <c r="E234" s="3817"/>
      <c r="F234" s="3820"/>
      <c r="G234" s="3821"/>
      <c r="H234" s="3822"/>
      <c r="I234" s="3822"/>
      <c r="J234" s="3822"/>
      <c r="K234" s="3822"/>
      <c r="L234" s="3822"/>
      <c r="M234" s="3822"/>
      <c r="N234" s="3822"/>
      <c r="O234" s="3822"/>
      <c r="P234" s="3822"/>
      <c r="Q234" s="3823"/>
    </row>
    <row r="235" spans="1:17" ht="20.25" customHeight="1" thickBot="1">
      <c r="A235" s="2053"/>
      <c r="B235" s="3817" t="s">
        <v>3359</v>
      </c>
      <c r="C235" s="3817"/>
      <c r="D235" s="3817"/>
      <c r="E235" s="3817"/>
      <c r="F235" s="3820"/>
      <c r="G235" s="3831"/>
      <c r="H235" s="3832"/>
      <c r="I235" s="3832"/>
      <c r="J235" s="3832"/>
      <c r="K235" s="3832"/>
      <c r="L235" s="3832"/>
      <c r="M235" s="3832"/>
      <c r="N235" s="3832"/>
      <c r="O235" s="3832"/>
      <c r="P235" s="3833"/>
      <c r="Q235" s="3834"/>
    </row>
    <row r="236" spans="1:17" ht="20.25" customHeight="1" thickBot="1">
      <c r="A236" s="2053"/>
      <c r="B236" s="2030" t="s">
        <v>6825</v>
      </c>
      <c r="D236" s="2083"/>
      <c r="E236" s="2083"/>
      <c r="F236" s="2083"/>
      <c r="G236" s="2084"/>
      <c r="H236" s="2084"/>
      <c r="I236" s="2084"/>
      <c r="J236" s="2084"/>
      <c r="K236" s="2084"/>
      <c r="L236" s="2084"/>
      <c r="M236" s="2084"/>
      <c r="N236" s="2084"/>
      <c r="O236" s="2084"/>
      <c r="P236" s="3835"/>
      <c r="Q236" s="3836"/>
    </row>
    <row r="237" spans="1:17" ht="29.25" customHeight="1">
      <c r="A237" s="2053"/>
      <c r="B237" s="2104" t="s">
        <v>1963</v>
      </c>
      <c r="C237" s="3787" t="s">
        <v>6826</v>
      </c>
      <c r="D237" s="3787"/>
      <c r="E237" s="3787"/>
      <c r="F237" s="3787"/>
      <c r="G237" s="3787"/>
      <c r="H237" s="3787"/>
      <c r="I237" s="3787"/>
      <c r="J237" s="3787"/>
      <c r="K237" s="3787"/>
      <c r="L237" s="3787"/>
      <c r="M237" s="3787"/>
      <c r="N237" s="3787"/>
      <c r="O237" s="3787"/>
      <c r="P237" s="3787"/>
      <c r="Q237" s="3787"/>
    </row>
    <row r="238" spans="1:17" ht="29.25" customHeight="1">
      <c r="A238" s="2053"/>
      <c r="B238" s="2104" t="s">
        <v>1964</v>
      </c>
      <c r="C238" s="3787" t="s">
        <v>6827</v>
      </c>
      <c r="D238" s="3787"/>
      <c r="E238" s="3787"/>
      <c r="F238" s="3787"/>
      <c r="G238" s="3787"/>
      <c r="H238" s="3787"/>
      <c r="I238" s="3787"/>
      <c r="J238" s="3787"/>
      <c r="K238" s="3787"/>
      <c r="L238" s="3787"/>
      <c r="M238" s="3787"/>
      <c r="N238" s="3787"/>
      <c r="O238" s="3787"/>
      <c r="P238" s="3787"/>
      <c r="Q238" s="3787"/>
    </row>
    <row r="239" spans="1:17" ht="15.75" customHeight="1">
      <c r="A239" s="2053"/>
      <c r="B239" s="2104" t="s">
        <v>1611</v>
      </c>
      <c r="C239" s="3787" t="s">
        <v>6828</v>
      </c>
      <c r="D239" s="3787"/>
      <c r="E239" s="3787"/>
      <c r="F239" s="3787"/>
      <c r="G239" s="3787"/>
      <c r="H239" s="3787"/>
      <c r="I239" s="3787"/>
      <c r="J239" s="3787"/>
      <c r="K239" s="3787"/>
      <c r="L239" s="3787"/>
      <c r="M239" s="3787"/>
      <c r="N239" s="3787"/>
      <c r="O239" s="3787"/>
      <c r="P239" s="3787"/>
      <c r="Q239" s="3787"/>
    </row>
    <row r="240" spans="1:17" ht="29.25" customHeight="1">
      <c r="A240" s="2053"/>
      <c r="B240" s="2104" t="s">
        <v>3864</v>
      </c>
      <c r="C240" s="3787" t="s">
        <v>6829</v>
      </c>
      <c r="D240" s="3787"/>
      <c r="E240" s="3787"/>
      <c r="F240" s="3787"/>
      <c r="G240" s="3787"/>
      <c r="H240" s="3787"/>
      <c r="I240" s="3787"/>
      <c r="J240" s="3787"/>
      <c r="K240" s="3787"/>
      <c r="L240" s="3787"/>
      <c r="M240" s="3787"/>
      <c r="N240" s="3787"/>
      <c r="O240" s="3787"/>
      <c r="P240" s="3787"/>
      <c r="Q240" s="3787"/>
    </row>
    <row r="241" spans="1:17" ht="15.75" customHeight="1">
      <c r="A241" s="2053"/>
      <c r="B241" s="2104" t="s">
        <v>6830</v>
      </c>
      <c r="C241" s="3787" t="s">
        <v>6831</v>
      </c>
      <c r="D241" s="3787"/>
      <c r="E241" s="3787"/>
      <c r="F241" s="3787"/>
      <c r="G241" s="3787"/>
      <c r="H241" s="3787"/>
      <c r="I241" s="3787"/>
      <c r="J241" s="3787"/>
      <c r="K241" s="3787"/>
      <c r="L241" s="3787"/>
      <c r="M241" s="3787"/>
      <c r="N241" s="3787"/>
      <c r="O241" s="3787"/>
      <c r="P241" s="3787"/>
      <c r="Q241" s="3787"/>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4" t="s">
        <v>7081</v>
      </c>
      <c r="B244" s="3827"/>
      <c r="C244" s="3827"/>
      <c r="D244" s="3827"/>
      <c r="E244" s="3827"/>
      <c r="F244" s="3827"/>
      <c r="G244" s="3827"/>
      <c r="H244" s="3827"/>
      <c r="I244" s="3827"/>
      <c r="J244" s="3827"/>
      <c r="K244" s="3827"/>
      <c r="L244" s="3827"/>
      <c r="M244" s="3827"/>
      <c r="N244" s="3827"/>
      <c r="O244" s="3827"/>
      <c r="P244" s="3827"/>
      <c r="Q244" s="382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9"/>
      <c r="B246" s="3829"/>
      <c r="C246" s="3829"/>
      <c r="D246" s="3829"/>
      <c r="E246" s="3829"/>
      <c r="F246" s="3829"/>
      <c r="G246" s="3829"/>
      <c r="H246" s="3829"/>
      <c r="I246" s="3829"/>
      <c r="J246" s="3829"/>
      <c r="K246" s="3829"/>
      <c r="L246" s="3829"/>
      <c r="M246" s="3829"/>
      <c r="N246" s="3829"/>
      <c r="O246" s="3829"/>
      <c r="P246" s="3829"/>
      <c r="Q246" s="3830"/>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7"/>
      <c r="Q249" s="3745"/>
    </row>
    <row r="250" spans="1:17" ht="20.25" customHeight="1">
      <c r="A250" s="2053"/>
      <c r="B250" s="2030" t="s">
        <v>2438</v>
      </c>
      <c r="D250" s="2056"/>
      <c r="E250" s="2056"/>
      <c r="O250" s="2044"/>
      <c r="P250" s="3766"/>
      <c r="Q250" s="3767"/>
    </row>
    <row r="251" spans="1:17" ht="20.25" customHeight="1">
      <c r="A251" s="2053"/>
      <c r="B251" s="2030" t="s">
        <v>3142</v>
      </c>
      <c r="D251" s="2056"/>
      <c r="E251" s="2056"/>
      <c r="O251" s="2044"/>
      <c r="P251" s="3800"/>
      <c r="Q251" s="3838"/>
    </row>
    <row r="252" spans="1:17" ht="20.25" customHeight="1">
      <c r="A252" s="2053"/>
      <c r="B252" s="2030" t="s">
        <v>4030</v>
      </c>
      <c r="D252" s="2056"/>
      <c r="E252" s="2056"/>
      <c r="O252" s="2044"/>
      <c r="P252" s="3839"/>
      <c r="Q252" s="3840"/>
    </row>
    <row r="253" spans="1:17" ht="20.25" customHeight="1">
      <c r="A253" s="2053"/>
      <c r="B253" s="2030" t="s">
        <v>3143</v>
      </c>
      <c r="O253" s="2044"/>
      <c r="P253" s="3800"/>
      <c r="Q253" s="3838"/>
    </row>
    <row r="254" spans="1:17" ht="20.25" customHeight="1">
      <c r="A254" s="2053"/>
      <c r="B254" s="2030" t="s">
        <v>690</v>
      </c>
      <c r="D254" s="3704"/>
      <c r="E254" s="3827"/>
      <c r="F254" s="3827"/>
      <c r="G254" s="3827"/>
      <c r="H254" s="3827"/>
      <c r="I254" s="3827"/>
      <c r="J254" s="3827"/>
      <c r="K254" s="3827"/>
      <c r="L254" s="3827"/>
      <c r="M254" s="3827"/>
      <c r="N254" s="3827"/>
      <c r="O254" s="3827"/>
      <c r="P254" s="3841"/>
      <c r="Q254" s="3842"/>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4" t="s">
        <v>7082</v>
      </c>
      <c r="B256" s="3827"/>
      <c r="C256" s="3827"/>
      <c r="D256" s="3827"/>
      <c r="E256" s="3827"/>
      <c r="F256" s="3827"/>
      <c r="G256" s="3827"/>
      <c r="H256" s="3827"/>
      <c r="I256" s="3827"/>
      <c r="J256" s="3827"/>
      <c r="K256" s="3827"/>
      <c r="L256" s="3827"/>
      <c r="M256" s="3827"/>
      <c r="N256" s="3827"/>
      <c r="O256" s="3827"/>
      <c r="P256" s="3827"/>
      <c r="Q256" s="382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9"/>
      <c r="B258" s="3829"/>
      <c r="C258" s="3829"/>
      <c r="D258" s="3829"/>
      <c r="E258" s="3829"/>
      <c r="F258" s="3829"/>
      <c r="G258" s="3829"/>
      <c r="H258" s="3829"/>
      <c r="I258" s="3829"/>
      <c r="J258" s="3829"/>
      <c r="K258" s="3829"/>
      <c r="L258" s="3829"/>
      <c r="M258" s="3829"/>
      <c r="N258" s="3829"/>
      <c r="O258" s="3829"/>
      <c r="P258" s="3829"/>
      <c r="Q258" s="3830"/>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7"/>
      <c r="Q261" s="3745"/>
    </row>
    <row r="262" spans="1:17" ht="20.25" customHeight="1">
      <c r="B262" s="2030" t="s">
        <v>6250</v>
      </c>
      <c r="O262" s="2044"/>
      <c r="P262" s="3721"/>
      <c r="Q262" s="3722"/>
    </row>
    <row r="263" spans="1:17" ht="20.25" customHeight="1">
      <c r="A263" s="2053" t="s">
        <v>1841</v>
      </c>
      <c r="B263" s="2029" t="s">
        <v>3937</v>
      </c>
    </row>
    <row r="264" spans="1:17" ht="20.25" customHeight="1">
      <c r="A264" s="2053"/>
      <c r="B264" s="3837" t="s">
        <v>701</v>
      </c>
      <c r="C264" s="3837"/>
      <c r="D264" s="3837"/>
      <c r="E264" s="3837"/>
      <c r="F264" s="3837"/>
      <c r="G264" s="3837"/>
      <c r="H264" s="3837"/>
      <c r="I264" s="3837"/>
      <c r="J264" s="3837"/>
      <c r="K264" s="3837"/>
      <c r="L264" s="3837"/>
      <c r="M264" s="3837"/>
      <c r="N264" s="3837"/>
      <c r="O264" s="3837"/>
      <c r="P264" s="3766" t="s">
        <v>2652</v>
      </c>
      <c r="Q264" s="3767"/>
    </row>
    <row r="265" spans="1:17" ht="20.25" customHeight="1">
      <c r="B265" s="3837" t="s">
        <v>4032</v>
      </c>
      <c r="C265" s="3837"/>
      <c r="D265" s="3837"/>
      <c r="E265" s="3837"/>
      <c r="F265" s="3837"/>
      <c r="G265" s="3837"/>
      <c r="H265" s="3837"/>
      <c r="I265" s="3837"/>
      <c r="J265" s="3837"/>
      <c r="K265" s="3837"/>
      <c r="L265" s="3837"/>
      <c r="M265" s="3837"/>
      <c r="N265" s="3837"/>
      <c r="O265" s="3837"/>
      <c r="P265" s="3800"/>
      <c r="Q265" s="3838"/>
    </row>
    <row r="266" spans="1:17" ht="32.25" customHeight="1">
      <c r="A266" s="2053"/>
      <c r="B266" s="3845" t="s">
        <v>6834</v>
      </c>
      <c r="C266" s="3845"/>
      <c r="D266" s="3845"/>
      <c r="E266" s="3845"/>
      <c r="F266" s="3845"/>
      <c r="G266" s="3845"/>
      <c r="H266" s="3845"/>
      <c r="I266" s="3845"/>
      <c r="J266" s="3845"/>
      <c r="K266" s="3845"/>
      <c r="L266" s="3845"/>
      <c r="M266" s="3845"/>
      <c r="N266" s="3845"/>
      <c r="O266" s="3845"/>
      <c r="P266" s="3802"/>
      <c r="Q266" s="3805"/>
    </row>
    <row r="267" spans="1:17" ht="20.25" customHeight="1">
      <c r="B267" s="2060" t="s">
        <v>3239</v>
      </c>
      <c r="D267" s="2060"/>
      <c r="E267" s="2060"/>
      <c r="F267" s="2060"/>
      <c r="G267" s="2060"/>
      <c r="H267" s="2043"/>
      <c r="I267" s="2031"/>
      <c r="J267" s="2031"/>
      <c r="K267" s="2031"/>
    </row>
    <row r="268" spans="1:17" ht="20.25" customHeight="1">
      <c r="A268" s="3704" t="s">
        <v>7083</v>
      </c>
      <c r="B268" s="3827"/>
      <c r="C268" s="3827"/>
      <c r="D268" s="3827"/>
      <c r="E268" s="3827"/>
      <c r="F268" s="3827"/>
      <c r="G268" s="3827"/>
      <c r="H268" s="3827"/>
      <c r="I268" s="3827"/>
      <c r="J268" s="3827"/>
      <c r="K268" s="3827"/>
      <c r="L268" s="3827"/>
      <c r="M268" s="3827"/>
      <c r="N268" s="3827"/>
      <c r="O268" s="3827"/>
      <c r="P268" s="3827"/>
      <c r="Q268" s="382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9"/>
      <c r="B270" s="3829"/>
      <c r="C270" s="3829"/>
      <c r="D270" s="3829"/>
      <c r="E270" s="3829"/>
      <c r="F270" s="3829"/>
      <c r="G270" s="3829"/>
      <c r="H270" s="3829"/>
      <c r="I270" s="3829"/>
      <c r="J270" s="3829"/>
      <c r="K270" s="3829"/>
      <c r="L270" s="3829"/>
      <c r="M270" s="3829"/>
      <c r="N270" s="3829"/>
      <c r="O270" s="3829"/>
      <c r="P270" s="3829"/>
      <c r="Q270" s="3830"/>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1"/>
      <c r="Q273" s="3711"/>
    </row>
    <row r="274" spans="1:17" ht="33" customHeight="1">
      <c r="A274" s="2033"/>
      <c r="B274" s="3712" t="s">
        <v>6835</v>
      </c>
      <c r="C274" s="3712"/>
      <c r="D274" s="3712"/>
      <c r="E274" s="3712"/>
      <c r="F274" s="3712"/>
      <c r="G274" s="3712"/>
      <c r="H274" s="3712"/>
      <c r="I274" s="3712"/>
      <c r="J274" s="3712"/>
      <c r="K274" s="3712"/>
      <c r="L274" s="3712"/>
      <c r="M274" s="3712"/>
      <c r="N274" s="3712"/>
      <c r="O274" s="2105"/>
      <c r="P274" s="3721" t="s">
        <v>7058</v>
      </c>
      <c r="Q274" s="3722"/>
    </row>
    <row r="275" spans="1:17" ht="34.5" customHeight="1">
      <c r="A275" s="2033"/>
      <c r="B275" s="2078" t="s">
        <v>1841</v>
      </c>
      <c r="C275" s="3787" t="s">
        <v>3311</v>
      </c>
      <c r="D275" s="3787"/>
      <c r="E275" s="3787"/>
      <c r="F275" s="3787"/>
      <c r="G275" s="3787"/>
      <c r="H275" s="3787"/>
      <c r="I275" s="3787"/>
      <c r="J275" s="3787"/>
      <c r="K275" s="3787"/>
      <c r="L275" s="3787"/>
      <c r="M275" s="3787"/>
      <c r="N275" s="3787"/>
      <c r="O275" s="3787"/>
      <c r="P275" s="2056"/>
      <c r="Q275" s="2033"/>
    </row>
    <row r="276" spans="1:17" ht="34.5" customHeight="1">
      <c r="A276" s="2033"/>
      <c r="B276" s="2078" t="s">
        <v>1843</v>
      </c>
      <c r="C276" s="3787" t="s">
        <v>6836</v>
      </c>
      <c r="D276" s="3787"/>
      <c r="E276" s="3787"/>
      <c r="F276" s="3787"/>
      <c r="G276" s="3787"/>
      <c r="H276" s="3787"/>
      <c r="I276" s="3787"/>
      <c r="J276" s="3787"/>
      <c r="K276" s="3787"/>
      <c r="L276" s="3787"/>
      <c r="M276" s="3787"/>
      <c r="N276" s="3787"/>
      <c r="O276" s="3787"/>
      <c r="P276" s="2056"/>
      <c r="Q276" s="2026"/>
    </row>
    <row r="277" spans="1:17" ht="34.5" customHeight="1">
      <c r="A277" s="2033"/>
      <c r="C277" s="2437" t="s">
        <v>1844</v>
      </c>
      <c r="D277" s="3787" t="s">
        <v>3866</v>
      </c>
      <c r="E277" s="3787"/>
      <c r="F277" s="3787"/>
      <c r="G277" s="3787"/>
      <c r="H277" s="3787"/>
      <c r="I277" s="3787"/>
      <c r="J277" s="3787"/>
      <c r="K277" s="3787"/>
      <c r="L277" s="3787"/>
      <c r="M277" s="3787"/>
      <c r="N277" s="3787"/>
      <c r="O277" s="3787"/>
      <c r="P277" s="2044"/>
      <c r="Q277" s="2026"/>
    </row>
    <row r="278" spans="1:17" ht="15" customHeight="1">
      <c r="A278" s="2033"/>
      <c r="C278" s="2437" t="s">
        <v>1846</v>
      </c>
      <c r="D278" s="3843" t="s">
        <v>3867</v>
      </c>
      <c r="E278" s="3843"/>
      <c r="F278" s="3843"/>
      <c r="G278" s="3843"/>
      <c r="H278" s="3843"/>
      <c r="I278" s="3843"/>
      <c r="J278" s="3843"/>
      <c r="K278" s="3843"/>
      <c r="L278" s="3843"/>
      <c r="M278" s="3843"/>
      <c r="N278" s="3843"/>
      <c r="O278" s="3843"/>
      <c r="P278" s="2044"/>
      <c r="Q278" s="2026"/>
    </row>
    <row r="279" spans="1:17" ht="48" customHeight="1">
      <c r="A279" s="2033"/>
      <c r="C279" s="2437" t="s">
        <v>2332</v>
      </c>
      <c r="D279" s="3844" t="s">
        <v>3868</v>
      </c>
      <c r="E279" s="3844"/>
      <c r="F279" s="3844"/>
      <c r="G279" s="3844"/>
      <c r="H279" s="3844"/>
      <c r="I279" s="3844"/>
      <c r="J279" s="3844"/>
      <c r="K279" s="3844"/>
      <c r="L279" s="3844"/>
      <c r="M279" s="3844"/>
      <c r="N279" s="3844"/>
      <c r="O279" s="3844"/>
      <c r="P279" s="2044"/>
      <c r="Q279" s="2026"/>
    </row>
    <row r="280" spans="1:17" ht="48" customHeight="1">
      <c r="A280" s="2033"/>
      <c r="C280" s="2437" t="s">
        <v>1150</v>
      </c>
      <c r="D280" s="3844" t="s">
        <v>3869</v>
      </c>
      <c r="E280" s="3844"/>
      <c r="F280" s="3844"/>
      <c r="G280" s="3844"/>
      <c r="H280" s="3844"/>
      <c r="I280" s="3844"/>
      <c r="J280" s="3844"/>
      <c r="K280" s="3844"/>
      <c r="L280" s="3844"/>
      <c r="M280" s="3844"/>
      <c r="N280" s="3844"/>
      <c r="O280" s="3844"/>
      <c r="P280" s="2044"/>
      <c r="Q280" s="2026"/>
    </row>
    <row r="281" spans="1:17" ht="34.5" customHeight="1">
      <c r="A281" s="2033"/>
      <c r="B281" s="2078" t="s">
        <v>698</v>
      </c>
      <c r="C281" s="3787" t="s">
        <v>3312</v>
      </c>
      <c r="D281" s="3787"/>
      <c r="E281" s="3787"/>
      <c r="F281" s="3787"/>
      <c r="G281" s="3787"/>
      <c r="H281" s="3787"/>
      <c r="I281" s="3787"/>
      <c r="J281" s="3787"/>
      <c r="K281" s="3787"/>
      <c r="L281" s="3787"/>
      <c r="M281" s="3787"/>
      <c r="N281" s="3787"/>
      <c r="O281" s="3787"/>
      <c r="P281" s="2076"/>
      <c r="Q281" s="2026"/>
    </row>
    <row r="282" spans="1:17" ht="49.5" customHeight="1">
      <c r="A282" s="2033"/>
      <c r="B282" s="2078" t="s">
        <v>1962</v>
      </c>
      <c r="C282" s="3787" t="s">
        <v>3917</v>
      </c>
      <c r="D282" s="3787"/>
      <c r="E282" s="3787"/>
      <c r="F282" s="3787"/>
      <c r="G282" s="3787"/>
      <c r="H282" s="3787"/>
      <c r="I282" s="3787"/>
      <c r="J282" s="3787"/>
      <c r="K282" s="3787"/>
      <c r="L282" s="3787"/>
      <c r="M282" s="3787"/>
      <c r="N282" s="3787"/>
      <c r="O282" s="3787"/>
      <c r="P282" s="2076"/>
      <c r="Q282" s="2026"/>
    </row>
    <row r="283" spans="1:17" ht="34.5" customHeight="1">
      <c r="A283" s="2033"/>
      <c r="B283" s="2078" t="s">
        <v>1612</v>
      </c>
      <c r="C283" s="3787" t="s">
        <v>3918</v>
      </c>
      <c r="D283" s="3787"/>
      <c r="E283" s="3787"/>
      <c r="F283" s="3787"/>
      <c r="G283" s="3787"/>
      <c r="H283" s="3787"/>
      <c r="I283" s="3787"/>
      <c r="J283" s="3787"/>
      <c r="K283" s="3787"/>
      <c r="L283" s="3787"/>
      <c r="M283" s="3787"/>
      <c r="N283" s="3787"/>
      <c r="O283" s="3787"/>
      <c r="P283" s="2076"/>
      <c r="Q283" s="2026"/>
    </row>
    <row r="284" spans="1:17" ht="47.25" customHeight="1">
      <c r="A284" s="2071"/>
      <c r="B284" s="3787" t="s">
        <v>6837</v>
      </c>
      <c r="C284" s="3787"/>
      <c r="D284" s="3787"/>
      <c r="E284" s="3787"/>
      <c r="F284" s="3787"/>
      <c r="G284" s="3787"/>
      <c r="H284" s="3787"/>
      <c r="I284" s="3787"/>
      <c r="J284" s="3787"/>
      <c r="K284" s="3787"/>
      <c r="L284" s="3787"/>
      <c r="M284" s="3787"/>
      <c r="N284" s="3787"/>
      <c r="O284" s="3797"/>
      <c r="P284" s="3785" t="s">
        <v>7058</v>
      </c>
      <c r="Q284" s="3785"/>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4" t="s">
        <v>7123</v>
      </c>
      <c r="B286" s="3827"/>
      <c r="C286" s="3827"/>
      <c r="D286" s="3827"/>
      <c r="E286" s="3827"/>
      <c r="F286" s="3827"/>
      <c r="G286" s="3827"/>
      <c r="H286" s="3827"/>
      <c r="I286" s="3827"/>
      <c r="J286" s="3827"/>
      <c r="K286" s="3827"/>
      <c r="L286" s="3827"/>
      <c r="M286" s="3827"/>
      <c r="N286" s="3827"/>
      <c r="O286" s="3827"/>
      <c r="P286" s="3827"/>
      <c r="Q286" s="382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9"/>
      <c r="B288" s="3829"/>
      <c r="C288" s="3829"/>
      <c r="D288" s="3829"/>
      <c r="E288" s="3829"/>
      <c r="F288" s="3829"/>
      <c r="G288" s="3829"/>
      <c r="H288" s="3829"/>
      <c r="I288" s="3829"/>
      <c r="J288" s="3829"/>
      <c r="K288" s="3829"/>
      <c r="L288" s="3829"/>
      <c r="M288" s="3829"/>
      <c r="N288" s="3829"/>
      <c r="O288" s="3829"/>
      <c r="P288" s="3829"/>
      <c r="Q288" s="3830"/>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7"/>
      <c r="Q291" s="374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49" customHeight="1">
      <c r="A293" s="3704" t="s">
        <v>7124</v>
      </c>
      <c r="B293" s="3827"/>
      <c r="C293" s="3827"/>
      <c r="D293" s="3827"/>
      <c r="E293" s="3827"/>
      <c r="F293" s="3827"/>
      <c r="G293" s="3827"/>
      <c r="H293" s="3827"/>
      <c r="I293" s="3827"/>
      <c r="J293" s="3827"/>
      <c r="K293" s="3827"/>
      <c r="L293" s="3827"/>
      <c r="M293" s="3827"/>
      <c r="N293" s="3827"/>
      <c r="O293" s="3827"/>
      <c r="P293" s="3827"/>
      <c r="Q293" s="382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9"/>
      <c r="B295" s="3829"/>
      <c r="C295" s="3829"/>
      <c r="D295" s="3829"/>
      <c r="E295" s="3829"/>
      <c r="F295" s="3829"/>
      <c r="G295" s="3829"/>
      <c r="H295" s="3829"/>
      <c r="I295" s="3829"/>
      <c r="J295" s="3829"/>
      <c r="K295" s="3829"/>
      <c r="L295" s="3829"/>
      <c r="M295" s="3829"/>
      <c r="N295" s="3829"/>
      <c r="O295" s="3829"/>
      <c r="P295" s="3829"/>
      <c r="Q295" s="3830"/>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84"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R129" sqref="R129"/>
    </sheetView>
  </sheetViews>
  <sheetFormatPr baseColWidth="10" defaultColWidth="9.33203125" defaultRowHeight="14"/>
  <cols>
    <col min="1" max="1" width="6" style="2120" customWidth="1"/>
    <col min="2" max="2" width="3.5" style="2120" customWidth="1"/>
    <col min="3" max="3" width="12.5" style="2120" customWidth="1"/>
    <col min="4" max="4" width="12.1640625" style="2120" customWidth="1"/>
    <col min="5" max="5" width="7.5" style="2120" customWidth="1"/>
    <col min="6" max="6" width="13.5" style="2120" customWidth="1"/>
    <col min="7" max="9" width="14.1640625" style="2120" customWidth="1"/>
    <col min="10" max="10" width="10.5" style="2120" customWidth="1"/>
    <col min="11" max="11" width="13.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3203125" style="2120" customWidth="1"/>
    <col min="23" max="23" width="10" style="2120" customWidth="1"/>
    <col min="24" max="24" width="12.5" style="2120" customWidth="1"/>
    <col min="25" max="25" width="10.5" style="2120" customWidth="1"/>
    <col min="26" max="16384" width="9.33203125" style="2120"/>
  </cols>
  <sheetData>
    <row r="1" spans="1:25" ht="14" customHeight="1">
      <c r="A1" s="4051" t="str">
        <f>CONCATENATE("PART EIGHT - SCORING CRITERIA","  -  ",'Part I-Project Identification'!$O$7," ",'Part I-Project Identification'!$F$25,", ",'Part I-Project Identification'!F26,", ",'Part I-Project Identification'!J26," County")</f>
        <v>PART EIGHT - SCORING CRITERIA  -  2023-0 Fairhaven on Campbellton, Atlanta, Fulton County</v>
      </c>
      <c r="B1" s="4052"/>
      <c r="C1" s="4052"/>
      <c r="D1" s="4052"/>
      <c r="E1" s="4052"/>
      <c r="F1" s="4052"/>
      <c r="G1" s="4052"/>
      <c r="H1" s="4052"/>
      <c r="I1" s="4052"/>
      <c r="J1" s="4052"/>
      <c r="K1" s="4052"/>
      <c r="L1" s="4052"/>
      <c r="M1" s="4052"/>
      <c r="N1" s="4052"/>
      <c r="O1" s="4052"/>
      <c r="P1" s="4053"/>
      <c r="Q1" s="2118"/>
      <c r="R1" s="2118"/>
      <c r="S1" s="2118"/>
      <c r="T1" s="2118"/>
      <c r="U1" s="2118"/>
      <c r="V1" s="2118"/>
      <c r="W1" s="2118"/>
      <c r="X1" s="2119"/>
    </row>
    <row r="2" spans="1:25" ht="4.25"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5" customHeight="1">
      <c r="A3" s="4054" t="s">
        <v>6841</v>
      </c>
      <c r="B3" s="4054"/>
      <c r="C3" s="4054"/>
      <c r="D3" s="4054"/>
      <c r="E3" s="4054"/>
      <c r="F3" s="4054"/>
      <c r="G3" s="4054"/>
      <c r="H3" s="4054"/>
      <c r="I3" s="4054"/>
      <c r="J3" s="4054"/>
      <c r="K3" s="4054"/>
      <c r="L3" s="4054"/>
      <c r="M3" s="2125"/>
      <c r="N3" s="2123"/>
      <c r="O3" s="2126" t="s">
        <v>2050</v>
      </c>
      <c r="P3" s="2127" t="s">
        <v>245</v>
      </c>
      <c r="Q3" s="2118"/>
      <c r="R3" s="2118"/>
      <c r="S3" s="2118"/>
      <c r="T3" s="2118"/>
      <c r="U3" s="2118"/>
      <c r="V3" s="2118"/>
      <c r="W3" s="2118"/>
      <c r="X3" s="2119"/>
    </row>
    <row r="4" spans="1:25" s="2121" customFormat="1" ht="16.5" customHeight="1">
      <c r="A4" s="4054"/>
      <c r="B4" s="4054"/>
      <c r="C4" s="4054"/>
      <c r="D4" s="4054"/>
      <c r="E4" s="4054"/>
      <c r="F4" s="4054"/>
      <c r="G4" s="4054"/>
      <c r="H4" s="4054"/>
      <c r="I4" s="4054"/>
      <c r="J4" s="4054"/>
      <c r="K4" s="4054"/>
      <c r="L4" s="405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5" t="str">
        <f>'Part I-Project Identification'!$A$6</f>
        <v>April 2023</v>
      </c>
      <c r="C6" s="4055"/>
      <c r="D6" s="4055"/>
      <c r="E6" s="4055"/>
      <c r="F6" s="4055"/>
      <c r="L6" s="2124" t="s">
        <v>1152</v>
      </c>
      <c r="M6" s="2133"/>
      <c r="N6" s="2134"/>
      <c r="O6" s="2135">
        <f>O404</f>
        <v>69.5</v>
      </c>
      <c r="P6" s="2135">
        <f>P404</f>
        <v>22</v>
      </c>
      <c r="Q6" s="2136" t="s">
        <v>6842</v>
      </c>
      <c r="R6" s="2137"/>
      <c r="S6" s="2137"/>
      <c r="T6" s="2137"/>
      <c r="U6" s="2137"/>
      <c r="V6" s="2137"/>
      <c r="W6" s="2137"/>
      <c r="X6" s="2137"/>
      <c r="Y6" s="2137"/>
    </row>
    <row r="7" spans="1:25" ht="3.5"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5"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5"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5"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5" customHeight="1">
      <c r="A12" s="2146" t="s">
        <v>3391</v>
      </c>
      <c r="B12" s="2146" t="s">
        <v>3392</v>
      </c>
      <c r="C12" s="2147"/>
      <c r="D12" s="2147"/>
      <c r="E12" s="2120" t="s">
        <v>3399</v>
      </c>
      <c r="F12" s="4056" t="s">
        <v>6495</v>
      </c>
      <c r="G12" s="4056"/>
      <c r="H12" s="4056"/>
      <c r="I12" s="4056"/>
      <c r="J12" s="4056"/>
      <c r="K12" s="4056"/>
      <c r="L12" s="4056"/>
      <c r="M12" s="4056"/>
      <c r="N12" s="4056"/>
      <c r="O12" s="2148" t="s">
        <v>3809</v>
      </c>
      <c r="P12" s="2149">
        <f>SUM(P13:P31)</f>
        <v>0</v>
      </c>
      <c r="Q12" s="4057"/>
      <c r="R12" s="4057"/>
      <c r="S12" s="4057"/>
      <c r="T12" s="4057"/>
      <c r="U12" s="4057"/>
      <c r="V12" s="2150"/>
    </row>
    <row r="13" spans="1:25" s="2121" customFormat="1" ht="14.5" customHeight="1">
      <c r="A13" s="2151" t="s">
        <v>1668</v>
      </c>
      <c r="B13" s="2152" t="s">
        <v>3393</v>
      </c>
      <c r="C13" s="2153"/>
      <c r="D13" s="2154"/>
      <c r="E13" s="2155">
        <f>$O$77</f>
        <v>20</v>
      </c>
      <c r="F13" s="4058" t="str">
        <f>$A$81</f>
        <v>Development site qualifies for 24 Desirable Activitie points.  There are two grocery stores (Kroger and Super Giant) located within 1.5 miles of the site and does not qualify for point deductions as a food desert.  One vacant building was identified south of the site but the building is secured and therefore not an undesirable nearby use.  One vacant and unsecured building is located on the development site but would be demolished as part of the proposed development.</v>
      </c>
      <c r="G13" s="4059"/>
      <c r="H13" s="4059"/>
      <c r="I13" s="4059"/>
      <c r="J13" s="4059"/>
      <c r="K13" s="4059"/>
      <c r="L13" s="4059"/>
      <c r="M13" s="4059"/>
      <c r="N13" s="4059"/>
      <c r="O13" s="4059"/>
      <c r="P13" s="2156"/>
      <c r="Q13" s="4057"/>
      <c r="R13" s="4057"/>
      <c r="S13" s="4057"/>
      <c r="T13" s="4057"/>
      <c r="U13" s="4057"/>
      <c r="V13" s="2150"/>
    </row>
    <row r="14" spans="1:25" s="2121" customFormat="1" ht="14.5" customHeight="1">
      <c r="A14" s="2151" t="s">
        <v>496</v>
      </c>
      <c r="B14" s="2157" t="s">
        <v>4037</v>
      </c>
      <c r="C14" s="2158"/>
      <c r="D14" s="2159"/>
      <c r="E14" s="2160">
        <f>$O$86</f>
        <v>3</v>
      </c>
      <c r="F14" s="4039" t="str">
        <f>$A$102</f>
        <v xml:space="preserve">Development site is located on MARTA Route 83 with two bus stops within walking distance (&lt;0.25 mile) of the pedestrian entrance/vehicle entrace to the development.  One stop is adjacent to the proposed site entrance and on the same side of Campbellton Road.  Additionally, MARTA is planning a Bus Rapid Transit route along Campbellton which would be complete after the proposed development and one transit station (Harbin Station) would be within walking distance of the site.  </v>
      </c>
      <c r="G14" s="3877"/>
      <c r="H14" s="3877"/>
      <c r="I14" s="3877"/>
      <c r="J14" s="3877"/>
      <c r="K14" s="3877"/>
      <c r="L14" s="3877"/>
      <c r="M14" s="3877"/>
      <c r="N14" s="3877"/>
      <c r="O14" s="4040"/>
      <c r="P14" s="2162"/>
      <c r="Q14" s="4057"/>
      <c r="R14" s="4057"/>
      <c r="S14" s="4057"/>
      <c r="T14" s="4057"/>
      <c r="U14" s="4057"/>
    </row>
    <row r="15" spans="1:25" s="2121" customFormat="1" ht="14.5" customHeight="1">
      <c r="A15" s="2151" t="s">
        <v>720</v>
      </c>
      <c r="B15" s="2157" t="s">
        <v>3338</v>
      </c>
      <c r="C15" s="2158"/>
      <c r="D15" s="2159"/>
      <c r="E15" s="2160">
        <f>$O$106</f>
        <v>1.5</v>
      </c>
      <c r="F15" s="4039" t="str">
        <f>$A$117</f>
        <v>Development site is located in the attendance zone for Kimberly Elementary, Bunch High School, and Therrell High School.  Kimberly Elementary School (PK-05) and Bunche Middle School (06-08) both achieved "Beating the Odds" designation in 2018.  Therefore, Fairhaven on Campbellton qualifies for 1.5 points under Quality Education as 8 out of 12 grades score under Section B.</v>
      </c>
      <c r="G15" s="3877"/>
      <c r="H15" s="3877"/>
      <c r="I15" s="3877"/>
      <c r="J15" s="3877"/>
      <c r="K15" s="3877"/>
      <c r="L15" s="3877"/>
      <c r="M15" s="3877"/>
      <c r="N15" s="3877"/>
      <c r="O15" s="4040"/>
      <c r="P15" s="2162"/>
      <c r="Q15" s="2163"/>
      <c r="R15" s="2163"/>
      <c r="S15" s="2163"/>
      <c r="T15" s="2163"/>
      <c r="U15" s="2163"/>
    </row>
    <row r="16" spans="1:25" s="2121" customFormat="1" ht="14.5" customHeight="1">
      <c r="A16" s="2164" t="s">
        <v>280</v>
      </c>
      <c r="B16" s="2157" t="s">
        <v>3394</v>
      </c>
      <c r="C16" s="2158"/>
      <c r="D16" s="2159"/>
      <c r="E16" s="2457">
        <f>$O$122</f>
        <v>7</v>
      </c>
      <c r="F16" s="4039" t="str">
        <f>$A$137</f>
        <v xml:space="preserve">Development site is located in a 2023 Qualified Census Tract.  Site is within the targeted corridor for the Campbellton Road TAD CRP (which includes housing as a goal; assesses infrastructure; designates implementation measures; and is annually re-approved by Council) as well as within the MARTA Campbellton Bus Rapid Transit System corridor with Harbin Station less than 0.25 mile west of the site, along with multiple ongoing community improvement projects funded by City of Atlanta (funding value in excess of $30,000/unit).  </v>
      </c>
      <c r="G16" s="3877"/>
      <c r="H16" s="3877"/>
      <c r="I16" s="3877"/>
      <c r="J16" s="3877"/>
      <c r="K16" s="3877"/>
      <c r="L16" s="3877"/>
      <c r="M16" s="3877"/>
      <c r="N16" s="3877"/>
      <c r="O16" s="4040"/>
      <c r="P16" s="2162"/>
      <c r="Q16" s="2163"/>
      <c r="R16" s="2163"/>
      <c r="S16" s="2163"/>
      <c r="T16" s="2163"/>
      <c r="U16" s="2163"/>
    </row>
    <row r="17" spans="1:35" s="2121" customFormat="1" ht="14.5" customHeight="1">
      <c r="A17" s="2151" t="s">
        <v>401</v>
      </c>
      <c r="B17" s="2166" t="s">
        <v>3395</v>
      </c>
      <c r="C17" s="2167"/>
      <c r="D17" s="2168"/>
      <c r="E17" s="2169" t="s">
        <v>1610</v>
      </c>
      <c r="F17" s="4063" t="str">
        <f>$A$147</f>
        <v>Applicant is not requesting points for Community Transformation.</v>
      </c>
      <c r="G17" s="4064"/>
      <c r="H17" s="4064"/>
      <c r="I17" s="4064"/>
      <c r="J17" s="4064"/>
      <c r="K17" s="4064"/>
      <c r="L17" s="4064"/>
      <c r="M17" s="4064"/>
      <c r="N17" s="4064"/>
      <c r="O17" s="4065"/>
      <c r="P17" s="2162"/>
      <c r="Q17" s="2163"/>
      <c r="R17" s="2163"/>
      <c r="S17" s="2163"/>
      <c r="T17" s="2163"/>
      <c r="U17" s="2163"/>
    </row>
    <row r="18" spans="1:35" s="2121" customFormat="1" ht="14.5" customHeight="1">
      <c r="A18" s="2151" t="s">
        <v>342</v>
      </c>
      <c r="B18" s="2157" t="s">
        <v>4038</v>
      </c>
      <c r="C18" s="2158"/>
      <c r="D18" s="2159"/>
      <c r="E18" s="2170">
        <f>$O$152</f>
        <v>0</v>
      </c>
      <c r="F18" s="4039" t="str">
        <f>$A$165</f>
        <v>Applicant is claiming points under Revitalization/Redevelopment Plan and is therefore ineligible to claim points under Stable Communities.</v>
      </c>
      <c r="G18" s="3877"/>
      <c r="H18" s="3877"/>
      <c r="I18" s="3877"/>
      <c r="J18" s="3877"/>
      <c r="K18" s="3877"/>
      <c r="L18" s="3877"/>
      <c r="M18" s="3877"/>
      <c r="N18" s="3877"/>
      <c r="O18" s="4040"/>
      <c r="P18" s="2162"/>
      <c r="Q18" s="4066" t="str">
        <f>IF(OR($A$81="",$A$102="",$A$117="",$A$137="",$A$147="",$A$165="",$A$184="",$A$195="",$A$205="",$A$228="",$A$248="",$A$257="",$A$275="",$A$307="",$A$318="",$A$340="",$A$347="",$A$360="",$A$389=""),"Some Applicant Scoring Justification boxes are empty! Check to see if points claimed.","")</f>
        <v/>
      </c>
      <c r="R18" s="4006"/>
      <c r="S18" s="4006"/>
    </row>
    <row r="19" spans="1:35" s="2121" customFormat="1" ht="14.5" customHeight="1">
      <c r="A19" s="2151" t="s">
        <v>4040</v>
      </c>
      <c r="B19" s="2157" t="s">
        <v>3261</v>
      </c>
      <c r="C19" s="2158"/>
      <c r="D19" s="2159"/>
      <c r="E19" s="2170">
        <f>$O$179</f>
        <v>0</v>
      </c>
      <c r="F19" s="4039" t="str">
        <f>$A$184</f>
        <v>Development is not part of a CNI Grant or Purpose Built Communities participant.</v>
      </c>
      <c r="G19" s="3877"/>
      <c r="H19" s="3877"/>
      <c r="I19" s="3877"/>
      <c r="J19" s="3877"/>
      <c r="K19" s="3877"/>
      <c r="L19" s="3877"/>
      <c r="M19" s="3877"/>
      <c r="N19" s="3877"/>
      <c r="O19" s="4040"/>
      <c r="P19" s="2162"/>
      <c r="Q19" s="4066"/>
      <c r="R19" s="4006"/>
      <c r="S19" s="4006"/>
    </row>
    <row r="20" spans="1:35" s="2121" customFormat="1" ht="14.5" customHeight="1">
      <c r="A20" s="2151" t="s">
        <v>4052</v>
      </c>
      <c r="B20" s="2157" t="s">
        <v>4041</v>
      </c>
      <c r="C20" s="2158"/>
      <c r="D20" s="2159"/>
      <c r="E20" s="2169">
        <f>$O$189</f>
        <v>0</v>
      </c>
      <c r="F20" s="4039" t="str">
        <f>$A$195</f>
        <v>Not applicable as development is not part of a proposed phased development.</v>
      </c>
      <c r="G20" s="3877"/>
      <c r="H20" s="3877"/>
      <c r="I20" s="3877"/>
      <c r="J20" s="3877"/>
      <c r="K20" s="3877"/>
      <c r="L20" s="3877"/>
      <c r="M20" s="3877"/>
      <c r="N20" s="3877"/>
      <c r="O20" s="4040"/>
      <c r="P20" s="2162"/>
      <c r="Q20" s="4066"/>
      <c r="R20" s="4006"/>
      <c r="S20" s="4006"/>
    </row>
    <row r="21" spans="1:35" s="2121" customFormat="1" ht="14.5" customHeight="1">
      <c r="A21" s="2171" t="s">
        <v>6242</v>
      </c>
      <c r="B21" s="2166" t="s">
        <v>4042</v>
      </c>
      <c r="C21" s="2167"/>
      <c r="D21" s="2168"/>
      <c r="E21" s="2172">
        <f>$O$200</f>
        <v>3</v>
      </c>
      <c r="F21" s="4063" t="str">
        <f>$A$205</f>
        <v>Development site is not located within a 1-mile radius of any previously funded 9% LIHTC developments (minimum last 6 funding rounds).</v>
      </c>
      <c r="G21" s="4064"/>
      <c r="H21" s="4064"/>
      <c r="I21" s="4064"/>
      <c r="J21" s="4064"/>
      <c r="K21" s="4064"/>
      <c r="L21" s="4064"/>
      <c r="M21" s="4064"/>
      <c r="N21" s="4064"/>
      <c r="O21" s="4065"/>
      <c r="P21" s="2162"/>
      <c r="Q21" s="4066"/>
      <c r="R21" s="4006"/>
      <c r="S21" s="4006"/>
    </row>
    <row r="22" spans="1:35" s="2121" customFormat="1" ht="14.5" customHeight="1">
      <c r="A22" s="2151" t="s">
        <v>6636</v>
      </c>
      <c r="B22" s="2157" t="s">
        <v>6548</v>
      </c>
      <c r="C22" s="2158"/>
      <c r="D22" s="2159"/>
      <c r="E22" s="2170">
        <f>$O$223</f>
        <v>2</v>
      </c>
      <c r="F22" s="4039" t="str">
        <f>$A$228</f>
        <v>Applicant will proide free high-speed internet that is accessible within each unit.  Internet service will meet DCA requirements (min. 25 Mbps download / 5 Mbps upload).</v>
      </c>
      <c r="G22" s="3877"/>
      <c r="H22" s="3877"/>
      <c r="I22" s="3877"/>
      <c r="J22" s="3877"/>
      <c r="K22" s="3877"/>
      <c r="L22" s="3877"/>
      <c r="M22" s="3877"/>
      <c r="N22" s="3877"/>
      <c r="O22" s="4040"/>
      <c r="P22" s="2162"/>
      <c r="Q22" s="4066"/>
      <c r="R22" s="4006"/>
      <c r="S22" s="4006"/>
    </row>
    <row r="23" spans="1:35" s="2121" customFormat="1" ht="14.5" customHeight="1">
      <c r="A23" s="2151" t="s">
        <v>6638</v>
      </c>
      <c r="B23" s="2157" t="s">
        <v>6637</v>
      </c>
      <c r="C23" s="2158"/>
      <c r="D23" s="2159"/>
      <c r="E23" s="2170">
        <f>$O$233</f>
        <v>2</v>
      </c>
      <c r="F23" s="4039" t="str">
        <f>$A$248</f>
        <v>Applicant commits to engage Qualified Businesses in the development or operation of the property in amounts equal to 5% or more of total construction hard costs and to submit a report with the Final Allocation Application described our efforts.</v>
      </c>
      <c r="G23" s="3877"/>
      <c r="H23" s="3877"/>
      <c r="I23" s="3877"/>
      <c r="J23" s="3877"/>
      <c r="K23" s="3877"/>
      <c r="L23" s="3877"/>
      <c r="M23" s="3877"/>
      <c r="N23" s="3877"/>
      <c r="O23" s="4040"/>
      <c r="P23" s="2162"/>
      <c r="Q23" s="4066"/>
      <c r="R23" s="4006"/>
      <c r="S23" s="4006"/>
    </row>
    <row r="24" spans="1:35" s="2121" customFormat="1" ht="14.5" customHeight="1">
      <c r="A24" s="2164" t="s">
        <v>3368</v>
      </c>
      <c r="B24" s="2173" t="s">
        <v>6554</v>
      </c>
      <c r="C24" s="2174"/>
      <c r="D24" s="2175"/>
      <c r="E24" s="2165">
        <f>$O$253</f>
        <v>2</v>
      </c>
      <c r="F24" s="4060" t="str">
        <f>$A$257</f>
        <v>Applicant will solicit bids from a CORES-certified 3rd Party Contractor and, if the cost is supported by the operating budget, engage a CORES provider for supportive service provision at the development.</v>
      </c>
      <c r="G24" s="4061"/>
      <c r="H24" s="4061"/>
      <c r="I24" s="4061"/>
      <c r="J24" s="4061"/>
      <c r="K24" s="4061"/>
      <c r="L24" s="4061"/>
      <c r="M24" s="4061"/>
      <c r="N24" s="4061"/>
      <c r="O24" s="4062"/>
      <c r="P24" s="2162"/>
      <c r="Q24" s="4066"/>
      <c r="R24" s="4006"/>
      <c r="S24" s="4006"/>
    </row>
    <row r="25" spans="1:35" s="2121" customFormat="1" ht="14.5" customHeight="1">
      <c r="A25" s="2151" t="s">
        <v>3372</v>
      </c>
      <c r="B25" s="2157" t="s">
        <v>3396</v>
      </c>
      <c r="C25" s="2158"/>
      <c r="D25" s="2159"/>
      <c r="E25" s="2170">
        <f>$O$271</f>
        <v>0</v>
      </c>
      <c r="F25" s="4039" t="str">
        <f>$A$275</f>
        <v>City of Atlanta is not a GICH Community or Alumni.</v>
      </c>
      <c r="G25" s="3877"/>
      <c r="H25" s="3877"/>
      <c r="I25" s="3877"/>
      <c r="J25" s="3877"/>
      <c r="K25" s="3877"/>
      <c r="L25" s="3877"/>
      <c r="M25" s="3877"/>
      <c r="N25" s="3877"/>
      <c r="O25" s="4040"/>
      <c r="P25" s="2162"/>
      <c r="Q25" s="4066"/>
      <c r="R25" s="4006"/>
      <c r="S25" s="4006"/>
    </row>
    <row r="26" spans="1:35" s="2121" customFormat="1" ht="14.5" customHeight="1">
      <c r="A26" s="2151" t="s">
        <v>3375</v>
      </c>
      <c r="B26" s="2157" t="s">
        <v>3397</v>
      </c>
      <c r="C26" s="2158"/>
      <c r="D26" s="2159"/>
      <c r="E26" s="2170">
        <f>$O$280</f>
        <v>0</v>
      </c>
      <c r="F26" s="4039" t="str">
        <f>$A$307</f>
        <v>Applicant is not requesting points for favorable financing.</v>
      </c>
      <c r="G26" s="3877"/>
      <c r="H26" s="3877"/>
      <c r="I26" s="3877"/>
      <c r="J26" s="3877"/>
      <c r="K26" s="3877"/>
      <c r="L26" s="3877"/>
      <c r="M26" s="3877"/>
      <c r="N26" s="3877"/>
      <c r="O26" s="4040"/>
      <c r="P26" s="2162"/>
      <c r="Q26" s="4066"/>
      <c r="R26" s="4006"/>
      <c r="S26" s="4006"/>
    </row>
    <row r="27" spans="1:35" s="2121" customFormat="1" ht="14.5" customHeight="1">
      <c r="A27" s="2151" t="s">
        <v>3376</v>
      </c>
      <c r="B27" s="2157" t="s">
        <v>3398</v>
      </c>
      <c r="C27" s="2158"/>
      <c r="D27" s="2159"/>
      <c r="E27" s="2169">
        <f>$O$312</f>
        <v>0</v>
      </c>
      <c r="F27" s="4039" t="str">
        <f>$A$318</f>
        <v>Applicant is not requesting points for historic preservation.</v>
      </c>
      <c r="G27" s="3877"/>
      <c r="H27" s="3877"/>
      <c r="I27" s="3877"/>
      <c r="J27" s="3877"/>
      <c r="K27" s="3877"/>
      <c r="L27" s="3877"/>
      <c r="M27" s="3877"/>
      <c r="N27" s="3877"/>
      <c r="O27" s="4040"/>
      <c r="P27" s="2162"/>
      <c r="Q27" s="2176"/>
      <c r="R27" s="2118"/>
      <c r="S27" s="2118"/>
      <c r="AA27" s="2131"/>
      <c r="AB27" s="2131"/>
      <c r="AC27" s="2131"/>
      <c r="AD27" s="2131"/>
      <c r="AE27" s="2131"/>
      <c r="AF27" s="2131"/>
    </row>
    <row r="28" spans="1:35" s="2121" customFormat="1" ht="14.5" customHeight="1">
      <c r="A28" s="2177" t="s">
        <v>3378</v>
      </c>
      <c r="B28" s="2178" t="s">
        <v>6635</v>
      </c>
      <c r="C28" s="2179"/>
      <c r="D28" s="2180"/>
      <c r="E28" s="2181">
        <f>$O$332</f>
        <v>2</v>
      </c>
      <c r="F28" s="4067" t="str">
        <f>$A$340</f>
        <v>Applicant does not have a PBRA commitment but will participate in the DCA 811 program.</v>
      </c>
      <c r="G28" s="4068"/>
      <c r="H28" s="4068"/>
      <c r="I28" s="4068"/>
      <c r="J28" s="4068"/>
      <c r="K28" s="4068"/>
      <c r="L28" s="4068"/>
      <c r="M28" s="4068"/>
      <c r="N28" s="4068"/>
      <c r="O28" s="4069"/>
      <c r="P28" s="2183"/>
      <c r="Q28" s="2176"/>
      <c r="R28" s="2118"/>
      <c r="S28" s="2118"/>
      <c r="X28" s="2131"/>
      <c r="Y28" s="2131"/>
      <c r="Z28" s="2131"/>
      <c r="AA28" s="2131"/>
      <c r="AB28" s="2131"/>
      <c r="AC28" s="2131"/>
      <c r="AD28" s="2131"/>
      <c r="AE28" s="2131"/>
      <c r="AF28" s="2131"/>
      <c r="AG28" s="2131"/>
      <c r="AH28" s="2131"/>
      <c r="AI28" s="2131"/>
    </row>
    <row r="29" spans="1:35" s="2121" customFormat="1" ht="14.5" customHeight="1">
      <c r="A29" s="2151" t="s">
        <v>3379</v>
      </c>
      <c r="B29" s="2157" t="s">
        <v>6131</v>
      </c>
      <c r="C29" s="2158"/>
      <c r="D29" s="2159"/>
      <c r="E29" s="2170">
        <f>$O$345</f>
        <v>0</v>
      </c>
      <c r="F29" s="4039" t="str">
        <f>$A$347</f>
        <v>Not applicable to a new construction deveopment.</v>
      </c>
      <c r="G29" s="3877"/>
      <c r="H29" s="3877"/>
      <c r="I29" s="3877"/>
      <c r="J29" s="3877"/>
      <c r="K29" s="3877"/>
      <c r="L29" s="3877"/>
      <c r="M29" s="3877"/>
      <c r="N29" s="3877"/>
      <c r="O29" s="4040"/>
      <c r="P29" s="2162"/>
      <c r="Q29" s="2176"/>
      <c r="R29" s="2118"/>
      <c r="S29" s="2118"/>
    </row>
    <row r="30" spans="1:35" s="2121" customFormat="1" ht="14.5" customHeight="1">
      <c r="A30" s="2151" t="s">
        <v>3802</v>
      </c>
      <c r="B30" s="2157" t="s">
        <v>6552</v>
      </c>
      <c r="C30" s="2158"/>
      <c r="D30" s="2159"/>
      <c r="E30" s="2170">
        <f>$O$358</f>
        <v>0</v>
      </c>
      <c r="F30" s="4039" t="str">
        <f>$A$360</f>
        <v>Applicant does not have a PBRA commitment.</v>
      </c>
      <c r="G30" s="3877"/>
      <c r="H30" s="3877"/>
      <c r="I30" s="3877"/>
      <c r="J30" s="3877"/>
      <c r="K30" s="3877"/>
      <c r="L30" s="3877"/>
      <c r="M30" s="3877"/>
      <c r="N30" s="3877"/>
      <c r="O30" s="4040"/>
      <c r="P30" s="2162"/>
      <c r="Q30" s="2176"/>
    </row>
    <row r="31" spans="1:35" s="2121" customFormat="1" ht="14.5" customHeight="1">
      <c r="A31" s="2151" t="s">
        <v>6555</v>
      </c>
      <c r="B31" s="2157" t="s">
        <v>6553</v>
      </c>
      <c r="C31" s="2158"/>
      <c r="D31" s="2159"/>
      <c r="E31" s="2170">
        <f>$O$365</f>
        <v>0</v>
      </c>
      <c r="F31" s="4039" t="str">
        <f>$A$369</f>
        <v>Not applicalbe to a new construction development.</v>
      </c>
      <c r="G31" s="3877"/>
      <c r="H31" s="3877"/>
      <c r="I31" s="3877"/>
      <c r="J31" s="3877"/>
      <c r="K31" s="3877"/>
      <c r="L31" s="3877"/>
      <c r="M31" s="3877"/>
      <c r="N31" s="3877"/>
      <c r="O31" s="4040"/>
      <c r="P31" s="2455"/>
      <c r="Q31" s="2176"/>
    </row>
    <row r="32" spans="1:35" s="2121" customFormat="1" ht="14.5" customHeight="1">
      <c r="A32" s="2456" t="s">
        <v>6916</v>
      </c>
      <c r="B32" s="2178" t="s">
        <v>6932</v>
      </c>
      <c r="C32" s="2179"/>
      <c r="D32" s="2179"/>
      <c r="E32" s="2454">
        <f>$O$373</f>
        <v>0</v>
      </c>
      <c r="F32" s="4067">
        <f>$A$388</f>
        <v>0</v>
      </c>
      <c r="G32" s="4068"/>
      <c r="H32" s="4068"/>
      <c r="I32" s="4068"/>
      <c r="J32" s="4068"/>
      <c r="K32" s="4068"/>
      <c r="L32" s="4068"/>
      <c r="M32" s="4068"/>
      <c r="N32" s="4068"/>
      <c r="O32" s="4069"/>
      <c r="P32" s="2183"/>
      <c r="Q32" s="2118"/>
    </row>
    <row r="33" spans="1:35" ht="12.75" customHeight="1">
      <c r="Q33" s="2185"/>
    </row>
    <row r="34" spans="1:35" ht="13.5" customHeight="1">
      <c r="A34" s="3849" t="s">
        <v>6946</v>
      </c>
      <c r="B34" s="3849"/>
      <c r="C34" s="3849"/>
      <c r="D34" s="3849"/>
      <c r="E34" s="4085" t="str">
        <f>IF(OR((C36-A36&gt;0),(D36-A36&gt;0)),"Points Exceed Max!","")</f>
        <v/>
      </c>
      <c r="F34" s="3919" t="s">
        <v>6880</v>
      </c>
      <c r="G34" s="3920"/>
      <c r="H34" s="3920"/>
      <c r="I34" s="3921"/>
      <c r="J34" s="4070" t="s">
        <v>6139</v>
      </c>
      <c r="K34" s="4071"/>
      <c r="L34" s="4071"/>
      <c r="M34" s="4072"/>
      <c r="O34" s="3925" t="s">
        <v>6881</v>
      </c>
      <c r="P34" s="3925"/>
      <c r="Q34" s="2185"/>
    </row>
    <row r="35" spans="1:35" ht="13.5" customHeight="1">
      <c r="A35" s="4090" t="s">
        <v>6906</v>
      </c>
      <c r="B35" s="4091"/>
      <c r="C35" s="2461" t="s">
        <v>2889</v>
      </c>
      <c r="D35" s="2460" t="s">
        <v>245</v>
      </c>
      <c r="E35" s="4085"/>
      <c r="F35" s="3922"/>
      <c r="G35" s="3923"/>
      <c r="H35" s="3923"/>
      <c r="I35" s="3924"/>
      <c r="J35" s="4073"/>
      <c r="K35" s="4074"/>
      <c r="L35" s="4074"/>
      <c r="M35" s="4075"/>
      <c r="O35" s="3926"/>
      <c r="P35" s="3926"/>
    </row>
    <row r="36" spans="1:35" ht="10.5" customHeight="1">
      <c r="A36" s="4086">
        <v>33</v>
      </c>
      <c r="B36" s="4087"/>
      <c r="C36" s="4100">
        <f>IF($O$36="4%",O77+O86+O106+O122+O152+O179,0)</f>
        <v>0</v>
      </c>
      <c r="D36" s="4098">
        <f>IF($O$36="4%",P77+P86+P106+P122+P152+P179,0)</f>
        <v>0</v>
      </c>
      <c r="E36" s="4085"/>
      <c r="F36" s="4033" t="s">
        <v>6124</v>
      </c>
      <c r="G36" s="4034"/>
      <c r="H36" s="4034"/>
      <c r="I36" s="4035"/>
      <c r="J36" s="4076" t="s">
        <v>3021</v>
      </c>
      <c r="K36" s="4077"/>
      <c r="L36" s="4077"/>
      <c r="M36" s="4078"/>
      <c r="O36" s="392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8"/>
    </row>
    <row r="37" spans="1:35" ht="10.5" customHeight="1">
      <c r="A37" s="4088"/>
      <c r="B37" s="4089"/>
      <c r="C37" s="4101"/>
      <c r="D37" s="4099"/>
      <c r="E37" s="4085"/>
      <c r="F37" s="4036"/>
      <c r="G37" s="4037"/>
      <c r="H37" s="4037"/>
      <c r="I37" s="4038"/>
      <c r="J37" s="4079"/>
      <c r="K37" s="4080"/>
      <c r="L37" s="4080"/>
      <c r="M37" s="4081"/>
      <c r="O37" s="3927"/>
      <c r="P37" s="392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5"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6872</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71" t="s">
        <v>6844</v>
      </c>
      <c r="D46" s="3872"/>
      <c r="E46" s="3872"/>
      <c r="F46" s="3872"/>
      <c r="G46" s="3872"/>
      <c r="H46" s="3872"/>
      <c r="I46" s="3872"/>
      <c r="J46" s="3872"/>
      <c r="K46" s="3872"/>
      <c r="L46" s="3872"/>
      <c r="M46" s="3872"/>
      <c r="N46" s="3872"/>
      <c r="O46" s="3872"/>
      <c r="P46" s="3873"/>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3" t="s">
        <v>6873</v>
      </c>
      <c r="B50" s="3923"/>
      <c r="C50" s="3923"/>
      <c r="D50" s="3923"/>
      <c r="E50" s="3923"/>
      <c r="F50" s="2216" t="s">
        <v>3178</v>
      </c>
      <c r="G50" s="3923" t="s">
        <v>6874</v>
      </c>
      <c r="H50" s="3923"/>
      <c r="I50" s="3923"/>
      <c r="J50" s="2216" t="s">
        <v>3178</v>
      </c>
      <c r="K50" s="4092" t="s">
        <v>6875</v>
      </c>
      <c r="L50" s="4092"/>
      <c r="M50" s="4092"/>
      <c r="N50" s="4092"/>
      <c r="O50" s="3859" t="s">
        <v>3178</v>
      </c>
      <c r="P50" s="3860"/>
      <c r="R50" s="2209"/>
      <c r="S50" s="2217"/>
    </row>
    <row r="51" spans="1:20" s="2121" customFormat="1" ht="12.75" customHeight="1">
      <c r="A51" s="4082"/>
      <c r="B51" s="4082"/>
      <c r="C51" s="4082"/>
      <c r="D51" s="4082"/>
      <c r="E51" s="4082"/>
      <c r="F51" s="2218">
        <f>SUM(F52:F63)</f>
        <v>0</v>
      </c>
      <c r="G51" s="4083"/>
      <c r="H51" s="4082"/>
      <c r="I51" s="4084"/>
      <c r="J51" s="2218">
        <f>SUM(J52:J63)</f>
        <v>0</v>
      </c>
      <c r="K51" s="4093"/>
      <c r="L51" s="4094"/>
      <c r="M51" s="4094"/>
      <c r="N51" s="4095"/>
      <c r="O51" s="4096">
        <f>SUM(O52:O63)</f>
        <v>0</v>
      </c>
      <c r="P51" s="4097"/>
      <c r="Q51" s="2209"/>
      <c r="R51" s="2217"/>
    </row>
    <row r="52" spans="1:20" s="2121" customFormat="1" ht="29.25" customHeight="1">
      <c r="A52" s="4044">
        <v>1</v>
      </c>
      <c r="B52" s="4045"/>
      <c r="C52" s="4045"/>
      <c r="D52" s="4045"/>
      <c r="E52" s="4046"/>
      <c r="F52" s="2219"/>
      <c r="G52" s="4044">
        <v>1</v>
      </c>
      <c r="H52" s="4045"/>
      <c r="I52" s="4046"/>
      <c r="J52" s="2220" t="s">
        <v>1610</v>
      </c>
      <c r="K52" s="4047">
        <v>1</v>
      </c>
      <c r="L52" s="4048"/>
      <c r="M52" s="4048"/>
      <c r="N52" s="4048"/>
      <c r="O52" s="4049" t="s">
        <v>1610</v>
      </c>
      <c r="P52" s="4050"/>
      <c r="Q52" s="2252"/>
      <c r="R52" s="2217"/>
    </row>
    <row r="53" spans="1:20" s="2121" customFormat="1" ht="29.25" customHeight="1">
      <c r="A53" s="4019">
        <v>2</v>
      </c>
      <c r="B53" s="4020"/>
      <c r="C53" s="4020"/>
      <c r="D53" s="4020"/>
      <c r="E53" s="4021"/>
      <c r="F53" s="2221"/>
      <c r="G53" s="4019">
        <v>2</v>
      </c>
      <c r="H53" s="4020"/>
      <c r="I53" s="4021"/>
      <c r="J53" s="2221"/>
      <c r="K53" s="4029">
        <v>2</v>
      </c>
      <c r="L53" s="4030"/>
      <c r="M53" s="4030"/>
      <c r="N53" s="4030"/>
      <c r="O53" s="4022"/>
      <c r="P53" s="4023"/>
      <c r="Q53" s="2209"/>
      <c r="R53" s="2217"/>
    </row>
    <row r="54" spans="1:20" s="2121" customFormat="1" ht="29.25" customHeight="1">
      <c r="A54" s="4019">
        <v>3</v>
      </c>
      <c r="B54" s="4020"/>
      <c r="C54" s="4020"/>
      <c r="D54" s="4020"/>
      <c r="E54" s="4021"/>
      <c r="F54" s="2221"/>
      <c r="G54" s="4019">
        <v>3</v>
      </c>
      <c r="H54" s="4020"/>
      <c r="I54" s="4021"/>
      <c r="J54" s="2222"/>
      <c r="K54" s="4029">
        <v>3</v>
      </c>
      <c r="L54" s="4030"/>
      <c r="M54" s="4030"/>
      <c r="N54" s="4030"/>
      <c r="O54" s="4022"/>
      <c r="P54" s="4023"/>
      <c r="Q54" s="2409"/>
      <c r="R54" s="2150"/>
      <c r="S54" s="2150"/>
      <c r="T54" s="2150"/>
    </row>
    <row r="55" spans="1:20" s="2121" customFormat="1" ht="29.25" customHeight="1">
      <c r="A55" s="4019">
        <v>4</v>
      </c>
      <c r="B55" s="4020"/>
      <c r="C55" s="4020"/>
      <c r="D55" s="4020"/>
      <c r="E55" s="4021"/>
      <c r="F55" s="2221"/>
      <c r="G55" s="4019">
        <v>4</v>
      </c>
      <c r="H55" s="4020"/>
      <c r="I55" s="4021"/>
      <c r="J55" s="2221"/>
      <c r="K55" s="4029">
        <v>4</v>
      </c>
      <c r="L55" s="4030"/>
      <c r="M55" s="4030"/>
      <c r="N55" s="4030"/>
      <c r="O55" s="4022"/>
      <c r="P55" s="4023"/>
      <c r="Q55" s="2409"/>
      <c r="R55" s="2150"/>
      <c r="S55" s="2150"/>
      <c r="T55" s="2150"/>
    </row>
    <row r="56" spans="1:20" s="2121" customFormat="1" ht="29.25" customHeight="1">
      <c r="A56" s="4019">
        <v>5</v>
      </c>
      <c r="B56" s="4020"/>
      <c r="C56" s="4020"/>
      <c r="D56" s="4020"/>
      <c r="E56" s="4021"/>
      <c r="F56" s="2221"/>
      <c r="G56" s="4019">
        <v>5</v>
      </c>
      <c r="H56" s="4020"/>
      <c r="I56" s="4021"/>
      <c r="J56" s="2222"/>
      <c r="K56" s="4029">
        <v>5</v>
      </c>
      <c r="L56" s="4030"/>
      <c r="M56" s="4030"/>
      <c r="N56" s="4030"/>
      <c r="O56" s="4022"/>
      <c r="P56" s="4023"/>
      <c r="Q56" s="2409"/>
      <c r="R56" s="2150"/>
      <c r="S56" s="2150"/>
      <c r="T56" s="2150"/>
    </row>
    <row r="57" spans="1:20" s="2121" customFormat="1" ht="29.25" customHeight="1">
      <c r="A57" s="4019">
        <v>6</v>
      </c>
      <c r="B57" s="4020"/>
      <c r="C57" s="4020"/>
      <c r="D57" s="4020"/>
      <c r="E57" s="4021"/>
      <c r="F57" s="2221"/>
      <c r="G57" s="4019">
        <v>6</v>
      </c>
      <c r="H57" s="4020"/>
      <c r="I57" s="4021"/>
      <c r="J57" s="2221"/>
      <c r="K57" s="4029">
        <v>6</v>
      </c>
      <c r="L57" s="4030"/>
      <c r="M57" s="4030"/>
      <c r="N57" s="4030"/>
      <c r="O57" s="4022"/>
      <c r="P57" s="4023"/>
      <c r="Q57" s="2409"/>
      <c r="R57" s="2150"/>
    </row>
    <row r="58" spans="1:20" s="2121" customFormat="1" ht="29.25" customHeight="1">
      <c r="A58" s="4019">
        <v>7</v>
      </c>
      <c r="B58" s="4020"/>
      <c r="C58" s="4020"/>
      <c r="D58" s="4020"/>
      <c r="E58" s="4021"/>
      <c r="F58" s="2221"/>
      <c r="G58" s="4019">
        <v>7</v>
      </c>
      <c r="H58" s="4020"/>
      <c r="I58" s="4021"/>
      <c r="J58" s="2222"/>
      <c r="K58" s="4029">
        <v>7</v>
      </c>
      <c r="L58" s="4030"/>
      <c r="M58" s="4030"/>
      <c r="N58" s="4030"/>
      <c r="O58" s="4022"/>
      <c r="P58" s="4023"/>
      <c r="Q58" s="2217"/>
      <c r="R58" s="2217"/>
    </row>
    <row r="59" spans="1:20" s="2121" customFormat="1" ht="29.25" customHeight="1">
      <c r="A59" s="4019">
        <v>8</v>
      </c>
      <c r="B59" s="4020"/>
      <c r="C59" s="4020"/>
      <c r="D59" s="4020"/>
      <c r="E59" s="4021"/>
      <c r="F59" s="2221"/>
      <c r="G59" s="4019">
        <v>8</v>
      </c>
      <c r="H59" s="4020"/>
      <c r="I59" s="4021"/>
      <c r="J59" s="2221"/>
      <c r="K59" s="4029">
        <v>8</v>
      </c>
      <c r="L59" s="4030"/>
      <c r="M59" s="4030"/>
      <c r="N59" s="4030"/>
      <c r="O59" s="4022"/>
      <c r="P59" s="4023"/>
      <c r="Q59" s="2217"/>
      <c r="R59" s="2217"/>
    </row>
    <row r="60" spans="1:20" s="2121" customFormat="1" ht="29.25" customHeight="1">
      <c r="A60" s="4019">
        <v>9</v>
      </c>
      <c r="B60" s="4020"/>
      <c r="C60" s="4020"/>
      <c r="D60" s="4020"/>
      <c r="E60" s="4021"/>
      <c r="F60" s="2221"/>
      <c r="G60" s="4019">
        <v>9</v>
      </c>
      <c r="H60" s="4020"/>
      <c r="I60" s="4021"/>
      <c r="J60" s="2222"/>
      <c r="K60" s="4029">
        <v>9</v>
      </c>
      <c r="L60" s="4030"/>
      <c r="M60" s="4030"/>
      <c r="N60" s="4030"/>
      <c r="O60" s="4022"/>
      <c r="P60" s="4023"/>
      <c r="Q60" s="2217"/>
      <c r="R60" s="2217"/>
    </row>
    <row r="61" spans="1:20" s="2121" customFormat="1" ht="29.25" customHeight="1">
      <c r="A61" s="4019">
        <v>10</v>
      </c>
      <c r="B61" s="4020"/>
      <c r="C61" s="4020"/>
      <c r="D61" s="4020"/>
      <c r="E61" s="4021"/>
      <c r="F61" s="2221"/>
      <c r="G61" s="4019">
        <v>10</v>
      </c>
      <c r="H61" s="4020"/>
      <c r="I61" s="4021"/>
      <c r="J61" s="2221"/>
      <c r="K61" s="4029">
        <v>10</v>
      </c>
      <c r="L61" s="4030"/>
      <c r="M61" s="4030"/>
      <c r="N61" s="4030"/>
      <c r="O61" s="4022"/>
      <c r="P61" s="4023"/>
      <c r="Q61" s="2217"/>
    </row>
    <row r="62" spans="1:20" s="2121" customFormat="1" ht="29.25" customHeight="1">
      <c r="A62" s="4019">
        <v>11</v>
      </c>
      <c r="B62" s="4020"/>
      <c r="C62" s="4020"/>
      <c r="D62" s="4020"/>
      <c r="E62" s="4021"/>
      <c r="F62" s="2221"/>
      <c r="G62" s="4019">
        <v>11</v>
      </c>
      <c r="H62" s="4020"/>
      <c r="I62" s="4021"/>
      <c r="J62" s="2222"/>
      <c r="K62" s="4019">
        <v>11</v>
      </c>
      <c r="L62" s="4020"/>
      <c r="M62" s="4020"/>
      <c r="N62" s="4021"/>
      <c r="O62" s="4022"/>
      <c r="P62" s="4023"/>
      <c r="Q62" s="2217"/>
      <c r="R62" s="2217"/>
    </row>
    <row r="63" spans="1:20" s="2121" customFormat="1" ht="29.25" customHeight="1">
      <c r="A63" s="4024">
        <v>12</v>
      </c>
      <c r="B63" s="4025"/>
      <c r="C63" s="4025"/>
      <c r="D63" s="4025"/>
      <c r="E63" s="4026"/>
      <c r="F63" s="2223"/>
      <c r="G63" s="4024">
        <v>12</v>
      </c>
      <c r="H63" s="4025"/>
      <c r="I63" s="4026"/>
      <c r="J63" s="2223"/>
      <c r="K63" s="4024">
        <v>12</v>
      </c>
      <c r="L63" s="4025"/>
      <c r="M63" s="4025"/>
      <c r="N63" s="4026"/>
      <c r="O63" s="4027"/>
      <c r="P63" s="4028"/>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6"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6" hidden="1" customHeight="1">
      <c r="A67" s="2228"/>
      <c r="B67" s="2229"/>
      <c r="E67" s="2121"/>
      <c r="F67" s="2120" t="s">
        <v>3817</v>
      </c>
      <c r="G67" s="2227"/>
      <c r="H67" s="2121"/>
      <c r="I67" s="2143"/>
      <c r="K67" s="2230"/>
      <c r="L67" s="2231"/>
      <c r="M67" s="2124"/>
      <c r="N67" s="2123"/>
      <c r="O67" s="2133"/>
      <c r="P67" s="2133"/>
      <c r="Q67" s="2203"/>
      <c r="R67" s="2232"/>
    </row>
    <row r="68" spans="1:19" s="2121" customFormat="1" ht="16" customHeight="1">
      <c r="A68" s="2138" t="s">
        <v>1841</v>
      </c>
      <c r="B68" s="2233" t="s">
        <v>6876</v>
      </c>
      <c r="C68" s="2255"/>
      <c r="D68" s="2255"/>
      <c r="E68" s="2255"/>
      <c r="F68" s="2255"/>
      <c r="G68" s="2120" t="s">
        <v>6645</v>
      </c>
      <c r="J68" s="2234" t="str">
        <f>'Part V-Revenues &amp; Expenses'!$O$53</f>
        <v>40% of Units at 60% of AMI</v>
      </c>
      <c r="L68" s="2255"/>
      <c r="M68" s="2124">
        <v>2</v>
      </c>
      <c r="N68" s="2214"/>
      <c r="O68" s="2236">
        <f>IF($F$36="New Supply",MIN($M68,O69+O70),0)</f>
        <v>2</v>
      </c>
      <c r="P68" s="2236">
        <f>IF($F$36="New Supply",MIN($M68,P69+P70),0)</f>
        <v>0</v>
      </c>
    </row>
    <row r="69" spans="1:19" s="2121" customFormat="1" ht="16" customHeight="1">
      <c r="A69" s="2138"/>
      <c r="B69" s="2332"/>
      <c r="C69" s="2237" t="s">
        <v>3812</v>
      </c>
      <c r="G69" s="2121" t="s">
        <v>3813</v>
      </c>
      <c r="I69" s="2238"/>
      <c r="J69" s="2239">
        <f>'Part V-Revenues &amp; Expenses'!$B$50</f>
        <v>57.567567567567565</v>
      </c>
      <c r="L69" s="2185"/>
      <c r="M69" s="2123">
        <v>2</v>
      </c>
      <c r="N69" s="2377"/>
      <c r="O69" s="2240"/>
      <c r="P69" s="2241"/>
      <c r="Q69" s="2242" t="str">
        <f>IF(OR($O69=$M69,$O69=0,$O69=""),"","*CHECK!*")</f>
        <v/>
      </c>
      <c r="R69" s="2305"/>
    </row>
    <row r="70" spans="1:19" s="2121" customFormat="1" ht="16" customHeight="1">
      <c r="A70" s="2235"/>
      <c r="B70" s="2332"/>
      <c r="C70" s="2237" t="s">
        <v>3814</v>
      </c>
      <c r="I70" s="2238"/>
      <c r="K70" s="2185"/>
      <c r="L70" s="2185"/>
      <c r="M70" s="2123">
        <v>2</v>
      </c>
      <c r="N70" s="2377"/>
      <c r="O70" s="2243">
        <v>2</v>
      </c>
      <c r="P70" s="2244"/>
      <c r="Q70" s="2242" t="str">
        <f>IF(OR($O70=$M70,$O70=0,$O70=""),"","*CHECK!*")</f>
        <v/>
      </c>
      <c r="R70" s="2305"/>
    </row>
    <row r="71" spans="1:19" ht="16" hidden="1" customHeight="1">
      <c r="A71" s="2210"/>
      <c r="B71" s="2211"/>
      <c r="C71" s="2212"/>
      <c r="D71" s="2157"/>
      <c r="K71" s="2213"/>
      <c r="L71" s="2213"/>
      <c r="M71" s="2123"/>
      <c r="N71" s="2214"/>
      <c r="O71" s="2134"/>
      <c r="P71" s="2134"/>
    </row>
    <row r="72" spans="1:19" ht="16" customHeight="1">
      <c r="A72" s="2138" t="s">
        <v>1843</v>
      </c>
      <c r="B72" s="2233" t="s">
        <v>6879</v>
      </c>
      <c r="G72" s="2186" t="s">
        <v>6845</v>
      </c>
      <c r="I72" s="2410"/>
      <c r="J72" s="2245">
        <f>IF(OR('Part V-Revenues &amp; Expenses'!$P$65="", 'Part V-Revenues &amp; Expenses'!$P$65=0),0,'Part V-Revenues &amp; Expenses'!$P$100/'Part V-Revenues &amp; Expenses'!$P$65)</f>
        <v>0</v>
      </c>
      <c r="M72" s="2124">
        <v>3</v>
      </c>
      <c r="N72" s="2310"/>
      <c r="O72" s="2308"/>
      <c r="P72" s="2309"/>
    </row>
    <row r="73" spans="1:19" ht="16" customHeight="1">
      <c r="A73" s="2121"/>
      <c r="B73" s="2248" t="s">
        <v>1730</v>
      </c>
      <c r="D73" s="2249"/>
      <c r="E73" s="2161"/>
      <c r="F73" s="2161"/>
      <c r="G73" s="2161"/>
      <c r="H73" s="2161"/>
      <c r="I73" s="2161"/>
      <c r="J73" s="2161"/>
      <c r="K73" s="2161"/>
      <c r="L73" s="2161"/>
      <c r="M73" s="2161"/>
      <c r="N73" s="2250"/>
      <c r="O73" s="2251"/>
      <c r="P73" s="2124"/>
    </row>
    <row r="74" spans="1:19" ht="16" customHeight="1">
      <c r="A74" s="3871"/>
      <c r="B74" s="3872"/>
      <c r="C74" s="3872"/>
      <c r="D74" s="3872"/>
      <c r="E74" s="3872"/>
      <c r="F74" s="3872"/>
      <c r="G74" s="3872"/>
      <c r="H74" s="3872"/>
      <c r="I74" s="3872"/>
      <c r="J74" s="3872"/>
      <c r="K74" s="3872"/>
      <c r="L74" s="3872"/>
      <c r="M74" s="3872"/>
      <c r="N74" s="3872"/>
      <c r="O74" s="3872"/>
      <c r="P74" s="3873"/>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6"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6"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6" customHeight="1">
      <c r="A79" s="2138" t="s">
        <v>1843</v>
      </c>
      <c r="B79" s="2131" t="s">
        <v>3279</v>
      </c>
      <c r="H79" s="2254"/>
      <c r="I79" s="2118"/>
      <c r="J79" s="2118"/>
      <c r="K79" s="2118"/>
      <c r="L79" s="2118"/>
      <c r="M79" s="2123" t="s">
        <v>1164</v>
      </c>
      <c r="N79" s="2254"/>
      <c r="O79" s="2414">
        <v>0</v>
      </c>
      <c r="P79" s="2415"/>
      <c r="R79" s="2305"/>
    </row>
    <row r="80" spans="1:19" ht="16" customHeight="1" thickBot="1">
      <c r="A80" s="2121"/>
      <c r="B80" s="2260" t="s">
        <v>3240</v>
      </c>
      <c r="C80" s="2121"/>
      <c r="D80" s="2121"/>
      <c r="E80" s="2121"/>
      <c r="F80" s="2121"/>
      <c r="G80" s="2121"/>
      <c r="H80" s="2121"/>
      <c r="I80" s="2411"/>
      <c r="J80" s="2411"/>
      <c r="K80" s="2411"/>
      <c r="L80" s="2411"/>
      <c r="M80" s="2123"/>
      <c r="O80" s="2133"/>
    </row>
    <row r="81" spans="1:21" ht="52" customHeight="1" thickTop="1" thickBot="1">
      <c r="A81" s="3868" t="s">
        <v>7098</v>
      </c>
      <c r="B81" s="3869"/>
      <c r="C81" s="3869"/>
      <c r="D81" s="3869"/>
      <c r="E81" s="3869"/>
      <c r="F81" s="3869"/>
      <c r="G81" s="3869"/>
      <c r="H81" s="3869"/>
      <c r="I81" s="3869"/>
      <c r="J81" s="3869"/>
      <c r="K81" s="3869"/>
      <c r="L81" s="3869"/>
      <c r="M81" s="3869"/>
      <c r="N81" s="3869"/>
      <c r="O81" s="3869"/>
      <c r="P81" s="3870"/>
      <c r="Q81" s="2209"/>
      <c r="R81" s="2209"/>
    </row>
    <row r="82" spans="1:21" ht="16" customHeight="1" thickTop="1">
      <c r="A82" s="2121"/>
      <c r="B82" s="2141" t="s">
        <v>1730</v>
      </c>
      <c r="C82" s="2121"/>
      <c r="D82" s="2261"/>
      <c r="E82" s="2161"/>
      <c r="F82" s="2161"/>
      <c r="G82" s="2161"/>
      <c r="H82" s="2161"/>
      <c r="I82" s="2161"/>
      <c r="J82" s="2161"/>
      <c r="K82" s="2161"/>
      <c r="L82" s="2161"/>
      <c r="M82" s="2161"/>
      <c r="N82" s="2250"/>
      <c r="O82" s="2251"/>
      <c r="P82" s="2124"/>
    </row>
    <row r="83" spans="1:21" ht="16" customHeight="1">
      <c r="A83" s="3871"/>
      <c r="B83" s="3872"/>
      <c r="C83" s="3872"/>
      <c r="D83" s="3872"/>
      <c r="E83" s="3872"/>
      <c r="F83" s="3872"/>
      <c r="G83" s="3872"/>
      <c r="H83" s="3872"/>
      <c r="I83" s="3872"/>
      <c r="J83" s="3872"/>
      <c r="K83" s="3872"/>
      <c r="L83" s="3872"/>
      <c r="M83" s="3872"/>
      <c r="N83" s="3872"/>
      <c r="O83" s="3872"/>
      <c r="P83" s="3873"/>
      <c r="Q83" s="2252"/>
      <c r="R83" s="2209"/>
    </row>
    <row r="84" spans="1:21" ht="9" customHeight="1">
      <c r="M84" s="2121"/>
      <c r="N84" s="2123"/>
      <c r="O84" s="2124"/>
      <c r="P84" s="2124"/>
    </row>
    <row r="85" spans="1:21" s="2262" customFormat="1" ht="9" customHeight="1" thickBot="1">
      <c r="M85" s="2263"/>
      <c r="N85" s="2264"/>
      <c r="O85" s="2265"/>
      <c r="P85" s="2265"/>
    </row>
    <row r="86" spans="1:21" ht="16" customHeight="1" thickBot="1">
      <c r="A86" s="2142" t="s">
        <v>496</v>
      </c>
      <c r="B86" s="2143" t="s">
        <v>2414</v>
      </c>
      <c r="H86" s="2412"/>
      <c r="I86" s="2233"/>
      <c r="J86" s="2210"/>
      <c r="K86" s="2124"/>
      <c r="L86" s="2210"/>
      <c r="M86" s="2124">
        <v>6</v>
      </c>
      <c r="N86" s="2254"/>
      <c r="O86" s="2266">
        <f>IF($F$36="New Supply",MAX(O94,O97),0)</f>
        <v>3</v>
      </c>
      <c r="P86" s="2266">
        <f>IF($F$36="New Supply",MAX(P94,P97),0)</f>
        <v>0</v>
      </c>
      <c r="Q86" s="2203" t="s">
        <v>416</v>
      </c>
      <c r="R86" s="2267"/>
      <c r="S86" s="2271" t="s">
        <v>6263</v>
      </c>
      <c r="T86" s="2271" t="s">
        <v>6144</v>
      </c>
      <c r="U86" s="2267"/>
    </row>
    <row r="87" spans="1:21" ht="16" hidden="1" customHeight="1">
      <c r="A87" s="2142"/>
      <c r="B87" s="2143"/>
      <c r="H87" s="2143"/>
      <c r="I87" s="2141"/>
      <c r="J87" s="2121"/>
      <c r="K87" s="2121"/>
      <c r="M87" s="2124"/>
      <c r="N87" s="2254"/>
      <c r="O87" s="2133"/>
      <c r="P87" s="2133"/>
      <c r="Q87" s="2203"/>
      <c r="R87" s="2267"/>
      <c r="S87" s="2275">
        <v>0.25</v>
      </c>
      <c r="T87" s="2275">
        <v>5</v>
      </c>
      <c r="U87" s="2267"/>
    </row>
    <row r="88" spans="1:21" ht="16" customHeight="1">
      <c r="A88" s="2142"/>
      <c r="B88" s="2121" t="s">
        <v>3326</v>
      </c>
      <c r="F88" s="4018" t="s">
        <v>3215</v>
      </c>
      <c r="G88" s="4018"/>
      <c r="H88" s="4018"/>
      <c r="I88" s="4018"/>
      <c r="J88" s="4018" t="s">
        <v>3216</v>
      </c>
      <c r="K88" s="4018"/>
      <c r="L88" s="4018"/>
      <c r="M88" s="4018"/>
      <c r="N88" s="2254"/>
      <c r="O88" s="3861" t="s">
        <v>6846</v>
      </c>
      <c r="P88" s="3861"/>
      <c r="R88" s="2157"/>
      <c r="S88" s="2275">
        <v>0.5</v>
      </c>
      <c r="T88" s="2275">
        <v>4.5</v>
      </c>
      <c r="U88" s="2267"/>
    </row>
    <row r="89" spans="1:21" ht="16" customHeight="1">
      <c r="B89" s="2272"/>
      <c r="C89" s="2420" t="s">
        <v>6847</v>
      </c>
      <c r="F89" s="4010">
        <v>33.702159999999999</v>
      </c>
      <c r="G89" s="4011"/>
      <c r="H89" s="4012"/>
      <c r="I89" s="4013"/>
      <c r="J89" s="4010">
        <v>-84.477459999999994</v>
      </c>
      <c r="K89" s="4011"/>
      <c r="L89" s="4012"/>
      <c r="M89" s="4013"/>
      <c r="N89" s="2120"/>
      <c r="O89" s="3862"/>
      <c r="P89" s="3862"/>
      <c r="R89" s="2274" t="s">
        <v>6670</v>
      </c>
      <c r="S89" s="2280">
        <v>1</v>
      </c>
      <c r="T89" s="2280">
        <v>4</v>
      </c>
      <c r="U89" s="2267"/>
    </row>
    <row r="90" spans="1:21" ht="16" customHeight="1">
      <c r="A90" s="2272"/>
      <c r="B90" s="2158"/>
      <c r="C90" s="2420" t="s">
        <v>6848</v>
      </c>
      <c r="F90" s="4014">
        <v>33.702089999999998</v>
      </c>
      <c r="G90" s="4015"/>
      <c r="H90" s="4016"/>
      <c r="I90" s="4017"/>
      <c r="J90" s="4014">
        <v>-84.477549999999994</v>
      </c>
      <c r="K90" s="4015"/>
      <c r="L90" s="4016"/>
      <c r="M90" s="4017"/>
      <c r="N90" s="2254"/>
      <c r="O90" s="2276">
        <v>0.1</v>
      </c>
      <c r="P90" s="2277"/>
      <c r="R90" s="2278"/>
      <c r="S90" s="2281">
        <v>0.25</v>
      </c>
      <c r="T90" s="2281">
        <v>3</v>
      </c>
      <c r="U90" s="2267"/>
    </row>
    <row r="91" spans="1:21" ht="16" customHeight="1">
      <c r="A91" s="2158"/>
      <c r="B91" s="4007" t="s">
        <v>6885</v>
      </c>
      <c r="C91" s="4007"/>
      <c r="D91" s="4007"/>
      <c r="E91" s="4007"/>
      <c r="F91" s="2139" t="s">
        <v>6849</v>
      </c>
      <c r="G91" s="4009" t="s">
        <v>1672</v>
      </c>
      <c r="H91" s="4009"/>
      <c r="I91" s="4009"/>
      <c r="J91" s="4009" t="s">
        <v>6882</v>
      </c>
      <c r="K91" s="4009"/>
      <c r="L91" s="4009"/>
      <c r="M91" s="4009"/>
      <c r="N91" s="4009"/>
      <c r="O91" s="4009"/>
      <c r="P91" s="4009"/>
      <c r="R91" s="2279"/>
      <c r="S91" s="2275">
        <v>0.5</v>
      </c>
      <c r="T91" s="2275">
        <v>2</v>
      </c>
      <c r="U91" s="2267"/>
    </row>
    <row r="92" spans="1:21" ht="16" customHeight="1">
      <c r="A92" s="2158"/>
      <c r="B92" s="3929" t="s">
        <v>7089</v>
      </c>
      <c r="C92" s="3929"/>
      <c r="D92" s="3929"/>
      <c r="E92" s="3929"/>
      <c r="F92" s="2416">
        <v>4048485000</v>
      </c>
      <c r="G92" s="4008" t="s">
        <v>7091</v>
      </c>
      <c r="H92" s="4008"/>
      <c r="I92" s="4008"/>
      <c r="J92" s="4008" t="s">
        <v>7090</v>
      </c>
      <c r="K92" s="4008"/>
      <c r="L92" s="4008"/>
      <c r="M92" s="4008"/>
      <c r="N92" s="4008"/>
      <c r="O92" s="4008"/>
      <c r="P92" s="4008"/>
      <c r="R92" s="2274" t="s">
        <v>6671</v>
      </c>
      <c r="S92" s="2280">
        <v>1</v>
      </c>
      <c r="T92" s="2280">
        <v>1</v>
      </c>
      <c r="U92" s="2267"/>
    </row>
    <row r="93" spans="1:21" ht="16" hidden="1" customHeight="1">
      <c r="A93" s="2140"/>
      <c r="B93" s="2143"/>
      <c r="F93" s="2282"/>
      <c r="M93" s="2124"/>
      <c r="N93" s="2124"/>
      <c r="O93" s="2124"/>
      <c r="P93" s="2124"/>
      <c r="Q93" s="2203"/>
      <c r="R93" s="2267"/>
      <c r="S93" s="2267"/>
      <c r="T93" s="2267"/>
      <c r="U93" s="2267"/>
    </row>
    <row r="94" spans="1:21" ht="16"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 customHeight="1">
      <c r="B95" s="2285" t="s">
        <v>1844</v>
      </c>
      <c r="C95" s="3877" t="s">
        <v>6877</v>
      </c>
      <c r="D95" s="3877"/>
      <c r="E95" s="3877"/>
      <c r="F95" s="3877"/>
      <c r="G95" s="3877"/>
      <c r="H95" s="3877"/>
      <c r="I95" s="3877"/>
      <c r="J95" s="3877"/>
      <c r="K95" s="3877"/>
      <c r="L95" s="3877"/>
      <c r="M95" s="2286">
        <v>6</v>
      </c>
      <c r="N95" s="2413"/>
      <c r="O95" s="2287"/>
      <c r="P95" s="2288"/>
      <c r="S95" s="2305"/>
    </row>
    <row r="96" spans="1:21" s="2157" customFormat="1" ht="16" customHeight="1">
      <c r="A96" s="2210" t="s">
        <v>1275</v>
      </c>
      <c r="B96" s="2285" t="s">
        <v>1846</v>
      </c>
      <c r="C96" s="2121" t="s">
        <v>6878</v>
      </c>
      <c r="D96" s="2121"/>
      <c r="E96" s="2121"/>
      <c r="F96" s="2121"/>
      <c r="G96" s="2121"/>
      <c r="H96" s="2121"/>
      <c r="I96" s="2121"/>
      <c r="J96" s="4006"/>
      <c r="K96" s="4006"/>
      <c r="L96" s="4006"/>
      <c r="M96" s="2123">
        <v>5</v>
      </c>
      <c r="N96" s="2144"/>
      <c r="O96" s="2258"/>
      <c r="P96" s="2259"/>
    </row>
    <row r="97" spans="1:21" s="2157" customFormat="1" ht="16"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6" customHeight="1">
      <c r="A98" s="2142"/>
      <c r="B98" s="2292" t="s">
        <v>1844</v>
      </c>
      <c r="C98" s="2121" t="s">
        <v>6850</v>
      </c>
      <c r="D98" s="2255"/>
      <c r="E98" s="2255"/>
      <c r="F98" s="2255"/>
      <c r="G98" s="2255"/>
      <c r="H98" s="2255"/>
      <c r="I98" s="2255"/>
      <c r="J98" s="2293"/>
      <c r="K98" s="2293"/>
      <c r="L98" s="2293"/>
      <c r="M98" s="2123">
        <v>3</v>
      </c>
      <c r="N98" s="2144"/>
      <c r="O98" s="2294">
        <v>3</v>
      </c>
      <c r="P98" s="2295"/>
      <c r="U98" s="2157"/>
    </row>
    <row r="99" spans="1:21" ht="16" customHeight="1">
      <c r="A99" s="2210" t="s">
        <v>1275</v>
      </c>
      <c r="B99" s="2292" t="s">
        <v>1846</v>
      </c>
      <c r="C99" s="2121" t="s">
        <v>6884</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7" t="s">
        <v>6883</v>
      </c>
      <c r="D100" s="3877"/>
      <c r="E100" s="3877"/>
      <c r="F100" s="3877"/>
      <c r="G100" s="3877"/>
      <c r="H100" s="3877"/>
      <c r="I100" s="3877"/>
      <c r="J100" s="3877"/>
      <c r="K100" s="3877"/>
      <c r="L100" s="3877"/>
      <c r="M100" s="2286">
        <v>2</v>
      </c>
      <c r="N100" s="2413"/>
      <c r="O100" s="2418"/>
      <c r="P100" s="2419"/>
    </row>
    <row r="101" spans="1:21" ht="16" customHeight="1" thickBot="1">
      <c r="A101" s="2121"/>
      <c r="B101" s="2260" t="s">
        <v>3240</v>
      </c>
      <c r="C101" s="2121"/>
      <c r="D101" s="2121"/>
      <c r="E101" s="2121"/>
      <c r="F101" s="2121"/>
      <c r="G101" s="2121"/>
      <c r="H101" s="2121"/>
      <c r="K101" s="2121"/>
      <c r="M101" s="2123"/>
      <c r="O101" s="2133"/>
    </row>
    <row r="102" spans="1:21" ht="49" customHeight="1" thickTop="1" thickBot="1">
      <c r="A102" s="3868" t="s">
        <v>7131</v>
      </c>
      <c r="B102" s="3869"/>
      <c r="C102" s="3869"/>
      <c r="D102" s="3869"/>
      <c r="E102" s="3869"/>
      <c r="F102" s="3869"/>
      <c r="G102" s="3869"/>
      <c r="H102" s="3869"/>
      <c r="I102" s="3869"/>
      <c r="J102" s="3869"/>
      <c r="K102" s="3869"/>
      <c r="L102" s="3869"/>
      <c r="M102" s="3869"/>
      <c r="N102" s="3869"/>
      <c r="O102" s="3869"/>
      <c r="P102" s="3870"/>
      <c r="Q102" s="2209"/>
      <c r="R102" s="2209"/>
    </row>
    <row r="103" spans="1:21" s="2121" customFormat="1" ht="16" customHeight="1" thickTop="1">
      <c r="B103" s="2248" t="s">
        <v>1730</v>
      </c>
      <c r="D103" s="2248"/>
      <c r="E103" s="2299"/>
      <c r="F103" s="2299"/>
      <c r="G103" s="2299"/>
      <c r="H103" s="2299"/>
      <c r="I103" s="2299"/>
      <c r="J103" s="2299"/>
      <c r="K103" s="2299"/>
      <c r="L103" s="2299"/>
      <c r="M103" s="2299"/>
      <c r="N103" s="2268"/>
      <c r="O103" s="2125"/>
      <c r="P103" s="2124"/>
      <c r="Q103" s="2120"/>
    </row>
    <row r="104" spans="1:21" ht="16" customHeight="1">
      <c r="A104" s="3871"/>
      <c r="B104" s="3872"/>
      <c r="C104" s="3872"/>
      <c r="D104" s="3872"/>
      <c r="E104" s="3872"/>
      <c r="F104" s="3872"/>
      <c r="G104" s="3872"/>
      <c r="H104" s="3872"/>
      <c r="I104" s="3872"/>
      <c r="J104" s="3872"/>
      <c r="K104" s="3872"/>
      <c r="L104" s="3872"/>
      <c r="M104" s="3872"/>
      <c r="N104" s="3872"/>
      <c r="O104" s="3872"/>
      <c r="P104" s="3873"/>
      <c r="Q104" s="2252"/>
    </row>
    <row r="105" spans="1:21" ht="9" customHeight="1" thickBot="1"/>
    <row r="106" spans="1:21" ht="16" customHeight="1" thickBot="1">
      <c r="A106" s="2142" t="s">
        <v>720</v>
      </c>
      <c r="B106" s="2143" t="s">
        <v>6148</v>
      </c>
      <c r="C106" s="2161"/>
      <c r="D106" s="2161"/>
      <c r="E106" s="2161"/>
      <c r="G106" s="2124"/>
      <c r="H106" s="2305"/>
      <c r="M106" s="2124">
        <v>3</v>
      </c>
      <c r="N106" s="2250"/>
      <c r="O106" s="2446">
        <v>1.5</v>
      </c>
      <c r="P106" s="2447"/>
      <c r="Q106" s="2242" t="str">
        <f>IF(OR($O106&lt;=$M106,$O106=0,$O106=""),"","*CHECK!*")</f>
        <v/>
      </c>
      <c r="R106" s="2303" t="s">
        <v>416</v>
      </c>
      <c r="S106" s="2305"/>
    </row>
    <row r="107" spans="1:21" ht="23.25" customHeight="1">
      <c r="B107" s="2434"/>
      <c r="C107" s="2434"/>
      <c r="D107" s="2434"/>
      <c r="E107" s="2433"/>
      <c r="F107" s="3865" t="s">
        <v>6908</v>
      </c>
      <c r="G107" s="3865"/>
      <c r="H107" s="3865" t="s">
        <v>6909</v>
      </c>
      <c r="I107" s="3865"/>
      <c r="J107" s="4000" t="s">
        <v>6933</v>
      </c>
      <c r="K107" s="4001"/>
      <c r="L107" s="3863" t="s">
        <v>6888</v>
      </c>
      <c r="M107" s="3863"/>
      <c r="N107" s="3863"/>
      <c r="O107" s="3864"/>
      <c r="P107" s="2304"/>
    </row>
    <row r="108" spans="1:21" ht="24.5" customHeight="1">
      <c r="B108" s="2434"/>
      <c r="C108" s="2434"/>
      <c r="D108" s="2434"/>
      <c r="E108" s="2433"/>
      <c r="F108" s="3865"/>
      <c r="G108" s="3865"/>
      <c r="H108" s="3865"/>
      <c r="I108" s="3865"/>
      <c r="J108" s="4002"/>
      <c r="K108" s="4003"/>
      <c r="L108" s="3865"/>
      <c r="M108" s="3865"/>
      <c r="N108" s="3865"/>
      <c r="O108" s="3864"/>
      <c r="P108" s="2304"/>
    </row>
    <row r="109" spans="1:21" ht="16" customHeight="1">
      <c r="B109" s="2435" t="s">
        <v>6629</v>
      </c>
      <c r="C109" s="2436"/>
      <c r="D109" s="2433"/>
      <c r="E109" s="2433"/>
      <c r="F109" s="3866"/>
      <c r="G109" s="3866"/>
      <c r="H109" s="3866"/>
      <c r="I109" s="3866"/>
      <c r="J109" s="4004"/>
      <c r="K109" s="4005"/>
      <c r="L109" s="3866"/>
      <c r="M109" s="3866"/>
      <c r="N109" s="3866"/>
      <c r="O109" s="3867"/>
      <c r="P109" s="2304"/>
    </row>
    <row r="110" spans="1:21" ht="16" customHeight="1">
      <c r="B110" s="3997" t="s">
        <v>7085</v>
      </c>
      <c r="C110" s="3988"/>
      <c r="D110" s="3988"/>
      <c r="E110" s="3989"/>
      <c r="F110" s="3998" t="s">
        <v>2652</v>
      </c>
      <c r="G110" s="3999"/>
      <c r="H110" s="3998" t="s">
        <v>2649</v>
      </c>
      <c r="I110" s="3999"/>
      <c r="J110" s="3856" t="s">
        <v>2649</v>
      </c>
      <c r="K110" s="3858"/>
      <c r="L110" s="3856" t="s">
        <v>2652</v>
      </c>
      <c r="M110" s="3857"/>
      <c r="N110" s="3857"/>
      <c r="O110" s="3858"/>
      <c r="P110" s="2257"/>
    </row>
    <row r="111" spans="1:21" ht="16" customHeight="1">
      <c r="B111" s="3981" t="s">
        <v>7086</v>
      </c>
      <c r="C111" s="3982"/>
      <c r="D111" s="3982"/>
      <c r="E111" s="3983"/>
      <c r="F111" s="3994" t="s">
        <v>2652</v>
      </c>
      <c r="G111" s="3995"/>
      <c r="H111" s="3994" t="s">
        <v>2649</v>
      </c>
      <c r="I111" s="3995"/>
      <c r="J111" s="3853" t="s">
        <v>2649</v>
      </c>
      <c r="K111" s="3855"/>
      <c r="L111" s="3853" t="s">
        <v>2652</v>
      </c>
      <c r="M111" s="3854"/>
      <c r="N111" s="3854"/>
      <c r="O111" s="3855"/>
      <c r="P111" s="2270"/>
    </row>
    <row r="112" spans="1:21" ht="16" customHeight="1">
      <c r="B112" s="3981" t="s">
        <v>7087</v>
      </c>
      <c r="C112" s="3982"/>
      <c r="D112" s="3982"/>
      <c r="E112" s="3983"/>
      <c r="F112" s="3994" t="s">
        <v>2652</v>
      </c>
      <c r="G112" s="3995"/>
      <c r="H112" s="3994" t="s">
        <v>2652</v>
      </c>
      <c r="I112" s="3995"/>
      <c r="J112" s="3853" t="s">
        <v>2649</v>
      </c>
      <c r="K112" s="3855"/>
      <c r="L112" s="3853" t="s">
        <v>2652</v>
      </c>
      <c r="M112" s="3854"/>
      <c r="N112" s="3854"/>
      <c r="O112" s="3855"/>
      <c r="P112" s="2270"/>
    </row>
    <row r="113" spans="1:21" ht="16" customHeight="1">
      <c r="B113" s="3981"/>
      <c r="C113" s="3982"/>
      <c r="D113" s="3982"/>
      <c r="E113" s="3983"/>
      <c r="F113" s="3994"/>
      <c r="G113" s="3995"/>
      <c r="H113" s="3994"/>
      <c r="I113" s="3995"/>
      <c r="J113" s="3853"/>
      <c r="K113" s="3855"/>
      <c r="L113" s="3853"/>
      <c r="M113" s="3854"/>
      <c r="N113" s="3854"/>
      <c r="O113" s="3855"/>
      <c r="P113" s="2270"/>
    </row>
    <row r="114" spans="1:21" ht="16" customHeight="1">
      <c r="B114" s="3981"/>
      <c r="C114" s="3982"/>
      <c r="D114" s="3982"/>
      <c r="E114" s="3983"/>
      <c r="F114" s="3994"/>
      <c r="G114" s="3995"/>
      <c r="H114" s="3994"/>
      <c r="I114" s="3995"/>
      <c r="J114" s="3853"/>
      <c r="K114" s="3855"/>
      <c r="L114" s="3853"/>
      <c r="M114" s="3854"/>
      <c r="N114" s="3854"/>
      <c r="O114" s="3855"/>
      <c r="P114" s="2270"/>
    </row>
    <row r="115" spans="1:21" ht="16" customHeight="1">
      <c r="B115" s="3984"/>
      <c r="C115" s="3985"/>
      <c r="D115" s="3985"/>
      <c r="E115" s="3986"/>
      <c r="F115" s="3990"/>
      <c r="G115" s="3991"/>
      <c r="H115" s="3990"/>
      <c r="I115" s="3991"/>
      <c r="J115" s="3992"/>
      <c r="K115" s="3993"/>
      <c r="L115" s="3992"/>
      <c r="M115" s="3996"/>
      <c r="N115" s="3996"/>
      <c r="O115" s="3993"/>
      <c r="P115" s="2247"/>
    </row>
    <row r="116" spans="1:21" ht="16" customHeight="1" thickBot="1">
      <c r="A116" s="2121"/>
      <c r="B116" s="2260" t="s">
        <v>3240</v>
      </c>
      <c r="C116" s="2121"/>
      <c r="D116" s="2121"/>
      <c r="E116" s="2121"/>
      <c r="F116" s="2121"/>
      <c r="G116" s="2121"/>
      <c r="H116" s="2121"/>
      <c r="I116" s="2121"/>
      <c r="J116" s="2121"/>
      <c r="K116" s="2121"/>
      <c r="M116" s="2123"/>
      <c r="O116" s="2133"/>
    </row>
    <row r="117" spans="1:21" ht="36" customHeight="1" thickTop="1" thickBot="1">
      <c r="A117" s="3868" t="s">
        <v>7088</v>
      </c>
      <c r="B117" s="3869"/>
      <c r="C117" s="3869"/>
      <c r="D117" s="3869"/>
      <c r="E117" s="3869"/>
      <c r="F117" s="3869"/>
      <c r="G117" s="3869"/>
      <c r="H117" s="3869"/>
      <c r="I117" s="3869"/>
      <c r="J117" s="3869"/>
      <c r="K117" s="3869"/>
      <c r="L117" s="3869"/>
      <c r="M117" s="3869"/>
      <c r="N117" s="3869"/>
      <c r="O117" s="3869"/>
      <c r="P117" s="3870"/>
      <c r="Q117" s="2209"/>
    </row>
    <row r="118" spans="1:21" ht="16"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6" customHeight="1">
      <c r="A119" s="3871"/>
      <c r="B119" s="3872"/>
      <c r="C119" s="3872"/>
      <c r="D119" s="3872"/>
      <c r="E119" s="3872"/>
      <c r="F119" s="3872"/>
      <c r="G119" s="3872"/>
      <c r="H119" s="3872"/>
      <c r="I119" s="3872"/>
      <c r="J119" s="3872"/>
      <c r="K119" s="3872"/>
      <c r="L119" s="3872"/>
      <c r="M119" s="3872"/>
      <c r="N119" s="3872"/>
      <c r="O119" s="3872"/>
      <c r="P119" s="3873"/>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6" customHeight="1" thickBot="1">
      <c r="A122" s="2142" t="s">
        <v>280</v>
      </c>
      <c r="B122" s="2143" t="s">
        <v>3339</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6"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6"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6" customHeight="1">
      <c r="A125" s="2311"/>
      <c r="B125" s="2254"/>
      <c r="C125" s="2157" t="s">
        <v>6886</v>
      </c>
      <c r="D125" s="2157"/>
      <c r="E125" s="2157"/>
      <c r="F125" s="2157"/>
      <c r="G125" s="2157"/>
      <c r="H125" s="2157"/>
      <c r="I125" s="2157"/>
      <c r="J125" s="2157"/>
      <c r="K125" s="2157"/>
      <c r="L125" s="2310"/>
      <c r="M125" s="3987" t="s">
        <v>7133</v>
      </c>
      <c r="N125" s="3988"/>
      <c r="O125" s="3988"/>
      <c r="P125" s="3989"/>
      <c r="S125" s="2118"/>
      <c r="T125" s="2118"/>
      <c r="U125" s="2118"/>
    </row>
    <row r="126" spans="1:21" s="2121" customFormat="1" ht="16" customHeight="1">
      <c r="B126" s="2254"/>
      <c r="C126" s="2121" t="s">
        <v>6852</v>
      </c>
      <c r="L126" s="2254"/>
      <c r="M126" s="3981" t="s">
        <v>7134</v>
      </c>
      <c r="N126" s="3982"/>
      <c r="O126" s="3982"/>
      <c r="P126" s="3983"/>
      <c r="S126" s="2118"/>
      <c r="T126" s="2118"/>
      <c r="U126" s="2118"/>
    </row>
    <row r="127" spans="1:21" s="2121" customFormat="1" ht="16" customHeight="1">
      <c r="B127" s="2254"/>
      <c r="C127" s="2121" t="s">
        <v>6853</v>
      </c>
      <c r="L127" s="2254"/>
      <c r="M127" s="3981" t="s">
        <v>7135</v>
      </c>
      <c r="N127" s="3982"/>
      <c r="O127" s="3982"/>
      <c r="P127" s="3983"/>
      <c r="Q127" s="2312">
        <f>IF(K127="Yes",1,0)</f>
        <v>0</v>
      </c>
      <c r="S127" s="2118"/>
      <c r="T127" s="2118"/>
      <c r="U127" s="2118"/>
    </row>
    <row r="128" spans="1:21" s="2121" customFormat="1" ht="16" customHeight="1">
      <c r="A128" s="2254"/>
      <c r="B128" s="2254"/>
      <c r="C128" s="2121" t="s">
        <v>6854</v>
      </c>
      <c r="L128" s="2254"/>
      <c r="M128" s="3981" t="s">
        <v>7136</v>
      </c>
      <c r="N128" s="3982"/>
      <c r="O128" s="3982"/>
      <c r="P128" s="3983"/>
      <c r="Q128" s="2312">
        <f>IF(K128="Yes",1,0)</f>
        <v>0</v>
      </c>
      <c r="S128" s="2118"/>
      <c r="T128" s="2118"/>
      <c r="U128" s="2118"/>
    </row>
    <row r="129" spans="1:22" s="2121" customFormat="1" ht="34" customHeight="1">
      <c r="A129" s="2254"/>
      <c r="B129" s="2254"/>
      <c r="C129" s="2121" t="s">
        <v>6891</v>
      </c>
      <c r="L129" s="2254"/>
      <c r="M129" s="3984" t="s">
        <v>7138</v>
      </c>
      <c r="N129" s="3985"/>
      <c r="O129" s="3985"/>
      <c r="P129" s="3986"/>
      <c r="Q129" s="2312"/>
      <c r="S129" s="2118"/>
      <c r="T129" s="2118"/>
      <c r="U129" s="2118"/>
      <c r="V129" s="2312"/>
    </row>
    <row r="130" spans="1:22" ht="16" customHeight="1">
      <c r="A130" s="2311"/>
      <c r="B130" s="2307" t="s">
        <v>1844</v>
      </c>
      <c r="C130" s="2233" t="s">
        <v>6890</v>
      </c>
      <c r="D130" s="2157"/>
      <c r="E130" s="2157"/>
      <c r="F130" s="2157"/>
      <c r="G130" s="2157"/>
      <c r="H130" s="2157"/>
      <c r="I130" s="2157"/>
      <c r="K130" s="2123"/>
      <c r="L130" s="2123"/>
      <c r="M130" s="2123">
        <v>2</v>
      </c>
      <c r="N130" s="2310"/>
      <c r="O130" s="2308">
        <v>2</v>
      </c>
      <c r="P130" s="2309"/>
      <c r="R130" s="2118"/>
      <c r="S130" s="2118"/>
      <c r="T130" s="2118"/>
      <c r="U130" s="2118"/>
    </row>
    <row r="131" spans="1:22" ht="16"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6" customHeight="1">
      <c r="A132" s="2235"/>
      <c r="B132" s="2310"/>
      <c r="C132" s="3877" t="s">
        <v>6855</v>
      </c>
      <c r="D132" s="3877"/>
      <c r="E132" s="3877"/>
      <c r="F132" s="3877"/>
      <c r="G132" s="3877"/>
      <c r="H132" s="3877"/>
      <c r="I132" s="3877"/>
      <c r="J132" s="3877"/>
      <c r="K132" s="3877"/>
      <c r="L132" s="3877"/>
      <c r="M132" s="2286">
        <v>1</v>
      </c>
      <c r="N132" s="2310"/>
      <c r="O132" s="2314">
        <v>1</v>
      </c>
      <c r="P132" s="2315"/>
      <c r="Q132" s="2242" t="str">
        <f>IF(OR($O132=$M132,$O132=0,$O132=""),"","*CHECK!*")</f>
        <v/>
      </c>
      <c r="R132" s="2305"/>
    </row>
    <row r="133" spans="1:22" ht="30.75" customHeight="1">
      <c r="A133" s="2235"/>
      <c r="B133" s="2310"/>
      <c r="C133" s="3877" t="s">
        <v>6899</v>
      </c>
      <c r="D133" s="3877"/>
      <c r="E133" s="3877"/>
      <c r="F133" s="3877"/>
      <c r="G133" s="3877"/>
      <c r="H133" s="3877"/>
      <c r="I133" s="3877"/>
      <c r="J133" s="3877"/>
      <c r="K133" s="3877"/>
      <c r="L133" s="3877"/>
      <c r="M133" s="2286">
        <v>1</v>
      </c>
      <c r="N133" s="2310"/>
      <c r="O133" s="2316">
        <v>1</v>
      </c>
      <c r="P133" s="2317"/>
      <c r="Q133" s="2242" t="str">
        <f>IF(OR($O133=$M133,$O133=0,$O133=""),"","*CHECK!*")</f>
        <v/>
      </c>
      <c r="R133" s="2305"/>
    </row>
    <row r="134" spans="1:22" ht="16" customHeight="1">
      <c r="A134" s="2235"/>
      <c r="B134" s="2230"/>
      <c r="C134" s="2120" t="s">
        <v>6856</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6" customHeight="1">
      <c r="A135" s="2138" t="s">
        <v>1843</v>
      </c>
      <c r="B135" s="2131" t="s">
        <v>3821</v>
      </c>
      <c r="D135" s="2121"/>
      <c r="F135" s="2318"/>
      <c r="K135" s="2319"/>
      <c r="L135" s="2232" t="str">
        <f>IF(OR($O135=$M135,$O135=0,$O135=1,$O135=""),"","* * Check Score! * *")</f>
        <v/>
      </c>
      <c r="M135" s="2123">
        <v>2</v>
      </c>
      <c r="N135" s="2254"/>
      <c r="O135" s="2414">
        <v>2</v>
      </c>
      <c r="P135" s="2415"/>
      <c r="Q135" s="2320"/>
      <c r="R135" s="2305"/>
    </row>
    <row r="136" spans="1:22" s="2121" customFormat="1" ht="16" customHeight="1" thickBot="1">
      <c r="B136" s="2260" t="s">
        <v>3240</v>
      </c>
      <c r="M136" s="2123"/>
      <c r="N136" s="2123"/>
      <c r="O136" s="2133"/>
      <c r="P136" s="2124"/>
    </row>
    <row r="137" spans="1:22" ht="49" customHeight="1" thickTop="1" thickBot="1">
      <c r="A137" s="3868" t="s">
        <v>7137</v>
      </c>
      <c r="B137" s="3869"/>
      <c r="C137" s="3869"/>
      <c r="D137" s="3869"/>
      <c r="E137" s="3869"/>
      <c r="F137" s="3869"/>
      <c r="G137" s="3869"/>
      <c r="H137" s="3869"/>
      <c r="I137" s="3869"/>
      <c r="J137" s="3869"/>
      <c r="K137" s="3869"/>
      <c r="L137" s="3869"/>
      <c r="M137" s="3869"/>
      <c r="N137" s="3869"/>
      <c r="O137" s="3869"/>
      <c r="P137" s="3870"/>
      <c r="Q137" s="2209"/>
    </row>
    <row r="138" spans="1:22" s="2121" customFormat="1" ht="16" customHeight="1" thickTop="1">
      <c r="B138" s="2248" t="s">
        <v>1730</v>
      </c>
      <c r="D138" s="2248"/>
      <c r="E138" s="2299"/>
      <c r="F138" s="2299"/>
      <c r="G138" s="2299"/>
      <c r="H138" s="2299"/>
      <c r="I138" s="2299"/>
      <c r="J138" s="2299"/>
      <c r="K138" s="2299"/>
      <c r="L138" s="2299"/>
      <c r="M138" s="2299"/>
      <c r="N138" s="2268"/>
      <c r="O138" s="2125"/>
      <c r="P138" s="2124"/>
      <c r="Q138" s="2120"/>
    </row>
    <row r="139" spans="1:22" ht="16" customHeight="1">
      <c r="A139" s="3871"/>
      <c r="B139" s="3872"/>
      <c r="C139" s="3872"/>
      <c r="D139" s="3872"/>
      <c r="E139" s="3872"/>
      <c r="F139" s="3872"/>
      <c r="G139" s="3872"/>
      <c r="H139" s="3872"/>
      <c r="I139" s="3872"/>
      <c r="J139" s="3872"/>
      <c r="K139" s="3872"/>
      <c r="L139" s="3872"/>
      <c r="M139" s="3872"/>
      <c r="N139" s="3872"/>
      <c r="O139" s="3872"/>
      <c r="P139" s="3873"/>
      <c r="Q139" s="2252"/>
    </row>
    <row r="140" spans="1:22" ht="16" customHeight="1">
      <c r="A140" s="2121"/>
      <c r="C140" s="2161"/>
      <c r="D140" s="2161"/>
      <c r="E140" s="2161"/>
      <c r="F140" s="2161"/>
      <c r="G140" s="2161"/>
      <c r="H140" s="2161"/>
      <c r="I140" s="2161"/>
      <c r="J140" s="2161"/>
      <c r="K140" s="2161"/>
      <c r="L140" s="2161"/>
      <c r="M140" s="2161"/>
      <c r="N140" s="2250"/>
      <c r="O140" s="2251"/>
      <c r="P140" s="2124"/>
    </row>
    <row r="141" spans="1:22" s="2262" customFormat="1" ht="16" customHeight="1" thickBot="1">
      <c r="A141" s="2263"/>
      <c r="C141" s="2300"/>
      <c r="D141" s="2300"/>
      <c r="E141" s="2300"/>
      <c r="F141" s="2300"/>
      <c r="G141" s="2300"/>
      <c r="H141" s="2300"/>
      <c r="I141" s="2300"/>
      <c r="J141" s="2300"/>
      <c r="K141" s="2300"/>
      <c r="L141" s="2300"/>
      <c r="M141" s="2300"/>
      <c r="N141" s="2301"/>
      <c r="O141" s="2302"/>
      <c r="P141" s="2265"/>
    </row>
    <row r="142" spans="1:22" ht="16"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6" customHeight="1">
      <c r="A143" s="2142"/>
      <c r="B143" s="2141" t="s">
        <v>6252</v>
      </c>
      <c r="C143" s="2161"/>
      <c r="D143" s="2161"/>
      <c r="E143" s="2161"/>
      <c r="F143" s="2161"/>
      <c r="G143" s="2161"/>
      <c r="H143" s="2161"/>
      <c r="L143" s="2322"/>
      <c r="M143" s="2124"/>
      <c r="N143" s="2250"/>
      <c r="O143" s="2251"/>
      <c r="P143" s="2323"/>
      <c r="Q143" s="2203"/>
      <c r="R143" s="2305"/>
    </row>
    <row r="144" spans="1:22" ht="16"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2652</v>
      </c>
      <c r="P144" s="2257"/>
      <c r="Q144" s="2203"/>
      <c r="R144" s="2118"/>
      <c r="S144" s="2118"/>
      <c r="T144" s="2118"/>
      <c r="U144" s="2118"/>
    </row>
    <row r="145" spans="1:27" ht="34" customHeight="1">
      <c r="A145" s="2142"/>
      <c r="B145" s="3942" t="s">
        <v>6898</v>
      </c>
      <c r="C145" s="3942"/>
      <c r="D145" s="3942"/>
      <c r="E145" s="3942"/>
      <c r="F145" s="3942"/>
      <c r="G145" s="3942"/>
      <c r="H145" s="3942"/>
      <c r="I145" s="3942"/>
      <c r="J145" s="3942"/>
      <c r="K145" s="3942"/>
      <c r="L145" s="3942"/>
      <c r="M145" s="3942"/>
      <c r="N145" s="2124"/>
      <c r="O145" s="2325" t="s">
        <v>7052</v>
      </c>
      <c r="P145" s="2326"/>
      <c r="Q145" s="2203"/>
      <c r="R145" s="2118"/>
      <c r="S145" s="2118"/>
      <c r="T145" s="2118"/>
      <c r="U145" s="2118"/>
    </row>
    <row r="146" spans="1:27" ht="16" customHeight="1" thickBot="1">
      <c r="A146" s="2121"/>
      <c r="B146" s="2260" t="s">
        <v>3240</v>
      </c>
      <c r="C146" s="2121"/>
      <c r="D146" s="2121"/>
      <c r="E146" s="2121"/>
      <c r="F146" s="2121"/>
      <c r="G146" s="2121"/>
      <c r="H146" s="2121"/>
      <c r="I146" s="2121"/>
      <c r="M146" s="2123"/>
      <c r="O146" s="2133"/>
    </row>
    <row r="147" spans="1:27" ht="16" customHeight="1" thickTop="1" thickBot="1">
      <c r="A147" s="3868" t="s">
        <v>7111</v>
      </c>
      <c r="B147" s="3869"/>
      <c r="C147" s="3869"/>
      <c r="D147" s="3869"/>
      <c r="E147" s="3869"/>
      <c r="F147" s="3869"/>
      <c r="G147" s="3869"/>
      <c r="H147" s="3869"/>
      <c r="I147" s="3869"/>
      <c r="J147" s="3869"/>
      <c r="K147" s="3869"/>
      <c r="L147" s="3869"/>
      <c r="M147" s="3869"/>
      <c r="N147" s="3869"/>
      <c r="O147" s="3869"/>
      <c r="P147" s="3870"/>
      <c r="Q147" s="2209"/>
    </row>
    <row r="148" spans="1:27" ht="16"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6" customHeight="1">
      <c r="A149" s="3871"/>
      <c r="B149" s="3872"/>
      <c r="C149" s="3872"/>
      <c r="D149" s="3872"/>
      <c r="E149" s="3872"/>
      <c r="F149" s="3872"/>
      <c r="G149" s="3872"/>
      <c r="H149" s="3872"/>
      <c r="I149" s="3872"/>
      <c r="J149" s="3872"/>
      <c r="K149" s="3872"/>
      <c r="L149" s="3872"/>
      <c r="M149" s="3872"/>
      <c r="N149" s="3872"/>
      <c r="O149" s="3872"/>
      <c r="P149" s="3873"/>
      <c r="Q149" s="2252"/>
    </row>
    <row r="150" spans="1:27" ht="16" customHeight="1"/>
    <row r="151" spans="1:27" s="2262" customFormat="1" ht="16" customHeight="1" thickBot="1">
      <c r="N151" s="2327"/>
      <c r="O151" s="2328"/>
      <c r="P151" s="2328"/>
    </row>
    <row r="152" spans="1:27" s="2121" customFormat="1" ht="16"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6"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6" customHeight="1">
      <c r="B154" s="2329"/>
      <c r="C154" s="2121" t="s">
        <v>6254</v>
      </c>
      <c r="D154" s="2121"/>
      <c r="E154" s="2143"/>
      <c r="F154" s="2143"/>
      <c r="G154" s="2121"/>
      <c r="H154" s="2121"/>
      <c r="I154" s="2121"/>
      <c r="J154" s="3973" t="s">
        <v>3204</v>
      </c>
      <c r="K154" s="3974"/>
      <c r="L154" s="3975" t="s">
        <v>3204</v>
      </c>
      <c r="M154" s="3976"/>
      <c r="N154" s="2123"/>
      <c r="R154" s="2203"/>
      <c r="S154" s="2121"/>
    </row>
    <row r="155" spans="1:27" ht="16" customHeight="1">
      <c r="C155" s="2331" t="s">
        <v>6892</v>
      </c>
      <c r="J155" s="3977"/>
      <c r="K155" s="3978"/>
      <c r="L155" s="3978"/>
      <c r="M155" s="3979"/>
      <c r="N155" s="2123"/>
      <c r="O155" s="2123"/>
      <c r="P155" s="2123"/>
      <c r="R155" s="2121"/>
      <c r="S155" s="2118"/>
    </row>
    <row r="156" spans="1:27" ht="16" hidden="1" customHeight="1">
      <c r="A156" s="2227"/>
      <c r="B156" s="2332"/>
      <c r="M156" s="2123"/>
      <c r="O156" s="2124"/>
      <c r="P156" s="2124"/>
      <c r="S156" s="2118"/>
      <c r="T156" s="2118"/>
      <c r="U156" s="2118"/>
    </row>
    <row r="157" spans="1:27" s="2121" customFormat="1" ht="16"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6" customHeight="1">
      <c r="C158" s="2333" t="s">
        <v>6219</v>
      </c>
      <c r="E158" s="3980" t="s">
        <v>6218</v>
      </c>
      <c r="F158" s="3980"/>
      <c r="G158" s="3980"/>
      <c r="H158" s="3980"/>
      <c r="I158" s="2139" t="s">
        <v>6893</v>
      </c>
      <c r="J158" s="3980" t="s">
        <v>6218</v>
      </c>
      <c r="K158" s="3980"/>
      <c r="L158" s="3980"/>
      <c r="M158" s="3980"/>
      <c r="N158" s="2120"/>
      <c r="O158" s="2120"/>
      <c r="P158" s="2120"/>
    </row>
    <row r="159" spans="1:27" ht="16" customHeight="1">
      <c r="C159" s="2121" t="s">
        <v>6217</v>
      </c>
      <c r="E159" s="3967"/>
      <c r="F159" s="3968"/>
      <c r="G159" s="3968"/>
      <c r="H159" s="3969"/>
      <c r="I159" s="2441"/>
      <c r="J159" s="3970"/>
      <c r="K159" s="3971"/>
      <c r="L159" s="3971"/>
      <c r="M159" s="3972"/>
      <c r="N159" s="2242" t="str">
        <f>IF(P157&lt;=N157,"","*CHECK!*")</f>
        <v/>
      </c>
      <c r="Q159" s="2132"/>
      <c r="R159" s="2132"/>
      <c r="S159" s="2132"/>
      <c r="T159" s="2132"/>
      <c r="U159" s="2132"/>
      <c r="V159" s="2132"/>
      <c r="W159" s="2132"/>
      <c r="X159" s="2132"/>
      <c r="Y159" s="2132"/>
      <c r="Z159" s="2132"/>
      <c r="AA159" s="2334"/>
    </row>
    <row r="160" spans="1:27" ht="16" customHeight="1">
      <c r="B160" s="2227"/>
      <c r="C160" s="2121" t="s">
        <v>6214</v>
      </c>
      <c r="E160" s="3967"/>
      <c r="F160" s="3968"/>
      <c r="G160" s="3968"/>
      <c r="H160" s="3969"/>
      <c r="I160" s="2442"/>
      <c r="J160" s="3970"/>
      <c r="K160" s="3971"/>
      <c r="L160" s="3971"/>
      <c r="M160" s="3972"/>
      <c r="N160" s="2120"/>
      <c r="Q160" s="2132"/>
      <c r="R160" s="2132"/>
      <c r="S160" s="2132"/>
      <c r="T160" s="2132"/>
      <c r="U160" s="2132"/>
      <c r="V160" s="2132"/>
      <c r="W160" s="2132"/>
      <c r="X160" s="2132"/>
      <c r="Y160" s="2132"/>
      <c r="Z160" s="2132"/>
      <c r="AA160" s="2334"/>
    </row>
    <row r="161" spans="1:27" ht="16" customHeight="1">
      <c r="C161" s="2121" t="s">
        <v>6215</v>
      </c>
      <c r="E161" s="3959"/>
      <c r="F161" s="3960"/>
      <c r="G161" s="3960"/>
      <c r="H161" s="3961"/>
      <c r="I161" s="2443"/>
      <c r="J161" s="3962"/>
      <c r="K161" s="3963"/>
      <c r="L161" s="3963"/>
      <c r="M161" s="3964"/>
      <c r="N161" s="2120"/>
      <c r="Q161" s="2132"/>
      <c r="R161" s="2132"/>
      <c r="S161" s="2132"/>
      <c r="T161" s="2132"/>
      <c r="U161" s="2132"/>
      <c r="V161" s="2132"/>
      <c r="W161" s="2132"/>
      <c r="X161" s="2132"/>
      <c r="Y161" s="2132"/>
      <c r="Z161" s="2132"/>
      <c r="AA161" s="2334"/>
    </row>
    <row r="162" spans="1:27" ht="16" hidden="1" customHeight="1">
      <c r="C162" s="2332"/>
      <c r="N162" s="2123"/>
      <c r="O162" s="2139"/>
      <c r="P162" s="2124"/>
      <c r="Q162" s="2124"/>
      <c r="R162" s="2124"/>
      <c r="S162" s="2124"/>
      <c r="T162" s="2124"/>
      <c r="U162" s="2124"/>
      <c r="V162" s="2124"/>
      <c r="W162" s="2124"/>
      <c r="X162" s="2124"/>
      <c r="Y162" s="2124"/>
      <c r="Z162" s="2124"/>
    </row>
    <row r="163" spans="1:27" ht="16" hidden="1" customHeight="1">
      <c r="A163" s="2227"/>
      <c r="B163" s="2332"/>
      <c r="M163" s="2123"/>
      <c r="O163" s="2124"/>
      <c r="P163" s="2124"/>
      <c r="S163" s="2335"/>
      <c r="T163" s="2335"/>
      <c r="U163" s="2335"/>
      <c r="V163" s="2335"/>
      <c r="W163" s="2335"/>
    </row>
    <row r="164" spans="1:27" ht="16" customHeight="1" thickBot="1">
      <c r="A164" s="2121"/>
      <c r="B164" s="2260" t="s">
        <v>3240</v>
      </c>
      <c r="C164" s="2121"/>
      <c r="D164" s="2121"/>
      <c r="E164" s="2121"/>
      <c r="F164" s="2121"/>
      <c r="G164" s="2121"/>
      <c r="H164" s="2121"/>
      <c r="I164" s="2121"/>
      <c r="J164" s="2121"/>
      <c r="K164" s="2121"/>
      <c r="M164" s="2123"/>
      <c r="O164" s="2133"/>
    </row>
    <row r="165" spans="1:27" ht="16" customHeight="1" thickTop="1" thickBot="1">
      <c r="A165" s="3868" t="s">
        <v>7092</v>
      </c>
      <c r="B165" s="3869"/>
      <c r="C165" s="3869"/>
      <c r="D165" s="3869"/>
      <c r="E165" s="3869"/>
      <c r="F165" s="3869"/>
      <c r="G165" s="3869"/>
      <c r="H165" s="3869"/>
      <c r="I165" s="3869"/>
      <c r="J165" s="3869"/>
      <c r="K165" s="3869"/>
      <c r="L165" s="3869"/>
      <c r="M165" s="3869"/>
      <c r="N165" s="3869"/>
      <c r="O165" s="3869"/>
      <c r="P165" s="3870"/>
      <c r="Q165" s="2209"/>
    </row>
    <row r="166" spans="1:27" ht="16" customHeight="1" thickTop="1">
      <c r="A166" s="2227"/>
      <c r="B166" s="2332"/>
      <c r="M166" s="2123"/>
      <c r="O166" s="2124"/>
      <c r="P166" s="2124"/>
    </row>
    <row r="167" spans="1:27" ht="16" customHeight="1">
      <c r="A167" s="2121"/>
      <c r="B167" s="2249" t="s">
        <v>1730</v>
      </c>
      <c r="C167" s="2121"/>
      <c r="D167" s="2249"/>
      <c r="E167" s="2161"/>
      <c r="F167" s="2161"/>
      <c r="G167" s="2161"/>
      <c r="H167" s="2161"/>
      <c r="I167" s="2161"/>
      <c r="J167" s="2161"/>
      <c r="K167" s="2161"/>
      <c r="L167" s="2161"/>
      <c r="M167" s="2161"/>
      <c r="N167" s="2250"/>
      <c r="O167" s="2251"/>
      <c r="P167" s="2124"/>
    </row>
    <row r="168" spans="1:27" ht="16" customHeight="1">
      <c r="A168" s="3871"/>
      <c r="B168" s="3872"/>
      <c r="C168" s="3872"/>
      <c r="D168" s="3872"/>
      <c r="E168" s="3872"/>
      <c r="F168" s="3872"/>
      <c r="G168" s="3872"/>
      <c r="H168" s="3872"/>
      <c r="I168" s="3872"/>
      <c r="J168" s="3872"/>
      <c r="K168" s="3872"/>
      <c r="L168" s="3872"/>
      <c r="M168" s="3872"/>
      <c r="N168" s="3872"/>
      <c r="O168" s="3872"/>
      <c r="P168" s="3873"/>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6" customHeight="1" thickBot="1">
      <c r="A171" s="2142" t="s">
        <v>343</v>
      </c>
      <c r="B171" s="2338" t="s">
        <v>4034</v>
      </c>
      <c r="G171" s="2123" t="s">
        <v>3152</v>
      </c>
      <c r="H171" s="2339">
        <f>IF('Part V-Revenues &amp; Expenses'!$P$67=0,0,'Part V-Revenues &amp; Expenses'!$P$64/'Part V-Revenues &amp; Expenses'!$P$67)</f>
        <v>0.21276595744680851</v>
      </c>
      <c r="K171" s="3965" t="str">
        <f>'Part V-Revenues &amp; Expenses'!$O$53</f>
        <v>40% of Units at 60% of AMI</v>
      </c>
      <c r="L171" s="3966"/>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6" customHeight="1">
      <c r="A172" s="2124" t="s">
        <v>1841</v>
      </c>
      <c r="B172" s="2227" t="s">
        <v>3957</v>
      </c>
      <c r="M172" s="2123">
        <v>1</v>
      </c>
      <c r="N172" s="2254"/>
      <c r="O172" s="2314">
        <v>1</v>
      </c>
      <c r="P172" s="2315"/>
      <c r="Q172" s="2320" t="str">
        <f>IF(OR($O172=$M172,$O172=0,$O172=""),"","*CHECK!*")</f>
        <v/>
      </c>
      <c r="R172" s="2305"/>
    </row>
    <row r="173" spans="1:27" ht="16" customHeight="1">
      <c r="A173" s="2124" t="s">
        <v>1843</v>
      </c>
      <c r="B173" s="2227" t="s">
        <v>3812</v>
      </c>
      <c r="M173" s="2139">
        <v>1</v>
      </c>
      <c r="N173" s="2254"/>
      <c r="O173" s="2243"/>
      <c r="P173" s="2244"/>
      <c r="Q173" s="2320" t="str">
        <f>IF(OR($O173=$M173,$O173=0,$O173=""),"","*CHECK!*")</f>
        <v/>
      </c>
      <c r="R173" s="2305"/>
    </row>
    <row r="174" spans="1:27" ht="16" hidden="1" customHeight="1">
      <c r="A174" s="2227"/>
      <c r="B174" s="2332"/>
      <c r="M174" s="2123"/>
      <c r="O174" s="2124"/>
      <c r="P174" s="2124"/>
    </row>
    <row r="175" spans="1:27" ht="16" customHeight="1">
      <c r="A175" s="2121"/>
      <c r="B175" s="2249" t="s">
        <v>1730</v>
      </c>
      <c r="C175" s="2121"/>
      <c r="D175" s="2249"/>
      <c r="E175" s="2161"/>
      <c r="F175" s="2161"/>
      <c r="G175" s="2161"/>
      <c r="H175" s="2161"/>
      <c r="I175" s="2161"/>
      <c r="J175" s="2161"/>
      <c r="K175" s="2161"/>
      <c r="L175" s="2161"/>
      <c r="M175" s="2161"/>
      <c r="N175" s="2250"/>
      <c r="O175" s="2251"/>
      <c r="P175" s="2124"/>
    </row>
    <row r="176" spans="1:27" ht="16" customHeight="1">
      <c r="A176" s="3871"/>
      <c r="B176" s="3872"/>
      <c r="C176" s="3872"/>
      <c r="D176" s="3872"/>
      <c r="E176" s="3872"/>
      <c r="F176" s="3872"/>
      <c r="G176" s="3872"/>
      <c r="H176" s="3872"/>
      <c r="I176" s="3872"/>
      <c r="J176" s="3872"/>
      <c r="K176" s="3872"/>
      <c r="L176" s="3872"/>
      <c r="M176" s="3872"/>
      <c r="N176" s="3872"/>
      <c r="O176" s="3872"/>
      <c r="P176" s="3873"/>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6"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6" hidden="1" customHeight="1">
      <c r="A180" s="2142"/>
      <c r="B180" s="2143"/>
      <c r="D180" s="2143"/>
      <c r="E180" s="2143"/>
      <c r="M180" s="2210"/>
      <c r="Q180" s="2203"/>
      <c r="R180" s="2118"/>
      <c r="S180" s="2118"/>
      <c r="T180" s="2118"/>
      <c r="U180" s="2118"/>
      <c r="V180" s="2118"/>
      <c r="W180" s="2120"/>
      <c r="X180" s="2120"/>
    </row>
    <row r="181" spans="1:27" ht="16" customHeight="1">
      <c r="A181" s="2124" t="s">
        <v>1841</v>
      </c>
      <c r="B181" s="2341" t="s">
        <v>3262</v>
      </c>
      <c r="D181" s="2184"/>
      <c r="E181" s="2184"/>
      <c r="F181" s="2184"/>
      <c r="G181" s="2184"/>
      <c r="H181" s="2184"/>
      <c r="L181" s="2184"/>
      <c r="M181" s="3957" t="str">
        <f>IF(AND(O181="Yes",O182="Yes"),"Only one category can be selected!","")</f>
        <v/>
      </c>
      <c r="N181" s="2254"/>
      <c r="O181" s="2256" t="s">
        <v>2652</v>
      </c>
      <c r="P181" s="2257"/>
      <c r="Q181" s="2342"/>
      <c r="R181" s="2118"/>
      <c r="S181" s="2118"/>
      <c r="T181" s="2118"/>
      <c r="U181" s="2118"/>
      <c r="V181" s="2118"/>
    </row>
    <row r="182" spans="1:27" ht="16" customHeight="1">
      <c r="A182" s="2124" t="s">
        <v>1843</v>
      </c>
      <c r="B182" s="2341" t="s">
        <v>3263</v>
      </c>
      <c r="D182" s="2184"/>
      <c r="L182" s="2184"/>
      <c r="M182" s="3957"/>
      <c r="N182" s="2254"/>
      <c r="O182" s="2246" t="s">
        <v>2652</v>
      </c>
      <c r="P182" s="2247"/>
      <c r="Q182" s="2342"/>
      <c r="R182" s="2118"/>
      <c r="S182" s="2118"/>
      <c r="T182" s="2118"/>
      <c r="U182" s="2118"/>
      <c r="V182" s="2118"/>
    </row>
    <row r="183" spans="1:27" ht="16"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6" customHeight="1" thickTop="1" thickBot="1">
      <c r="A184" s="3868" t="s">
        <v>7094</v>
      </c>
      <c r="B184" s="3869"/>
      <c r="C184" s="3869"/>
      <c r="D184" s="3869"/>
      <c r="E184" s="3869"/>
      <c r="F184" s="3869"/>
      <c r="G184" s="3869"/>
      <c r="H184" s="3869"/>
      <c r="I184" s="3869"/>
      <c r="J184" s="3869"/>
      <c r="K184" s="3869"/>
      <c r="L184" s="3869"/>
      <c r="M184" s="3869"/>
      <c r="N184" s="3869"/>
      <c r="O184" s="3869"/>
      <c r="P184" s="3870"/>
      <c r="Q184" s="2209"/>
    </row>
    <row r="185" spans="1:27" ht="16"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6" customHeight="1">
      <c r="A186" s="3871"/>
      <c r="B186" s="3872"/>
      <c r="C186" s="3872"/>
      <c r="D186" s="3872"/>
      <c r="E186" s="3872"/>
      <c r="F186" s="3872"/>
      <c r="G186" s="3872"/>
      <c r="H186" s="3872"/>
      <c r="I186" s="3872"/>
      <c r="J186" s="3872"/>
      <c r="K186" s="3872"/>
      <c r="L186" s="3872"/>
      <c r="M186" s="3872"/>
      <c r="N186" s="3872"/>
      <c r="O186" s="3872"/>
      <c r="P186" s="3873"/>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6"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6" customHeight="1">
      <c r="A190" s="2285"/>
      <c r="B190" s="2157" t="s">
        <v>6256</v>
      </c>
      <c r="C190" s="2157"/>
      <c r="D190" s="2157"/>
      <c r="E190" s="2157"/>
      <c r="F190" s="2157"/>
      <c r="G190" s="2139" t="s">
        <v>6857</v>
      </c>
      <c r="H190" s="3849" t="s">
        <v>574</v>
      </c>
      <c r="I190" s="3849"/>
      <c r="J190" s="3849"/>
      <c r="K190" s="3958" t="s">
        <v>6929</v>
      </c>
      <c r="L190" s="3958"/>
      <c r="M190" s="3958"/>
      <c r="N190" s="2310"/>
      <c r="O190" s="2346" t="s">
        <v>2652</v>
      </c>
      <c r="P190" s="2347"/>
      <c r="Q190" s="2348"/>
      <c r="R190" s="2158"/>
      <c r="S190" s="2158"/>
      <c r="T190" s="2158"/>
      <c r="W190" s="2158"/>
      <c r="X190" s="2158"/>
      <c r="Y190" s="2158"/>
      <c r="Z190" s="2158"/>
      <c r="AA190" s="2158"/>
    </row>
    <row r="191" spans="1:27" ht="16" customHeight="1">
      <c r="A191" s="2285"/>
      <c r="B191" s="2285"/>
      <c r="D191" s="2186" t="s">
        <v>6257</v>
      </c>
      <c r="G191" s="2349"/>
      <c r="H191" s="3954"/>
      <c r="I191" s="3955"/>
      <c r="J191" s="3956"/>
      <c r="K191" s="3950"/>
      <c r="L191" s="3950"/>
      <c r="M191" s="3950"/>
      <c r="N191" s="2310"/>
      <c r="O191" s="2350"/>
      <c r="P191" s="2351"/>
      <c r="Q191" s="2158"/>
      <c r="R191" s="2158"/>
      <c r="S191" s="2158"/>
      <c r="T191" s="2158"/>
      <c r="W191" s="2158"/>
      <c r="X191" s="2158"/>
      <c r="Y191" s="2158"/>
      <c r="Z191" s="2158"/>
      <c r="AA191" s="2158"/>
    </row>
    <row r="192" spans="1:27" s="2121" customFormat="1" ht="16" customHeight="1">
      <c r="A192" s="2313"/>
      <c r="B192" s="2285"/>
      <c r="D192" s="2226" t="s">
        <v>6258</v>
      </c>
      <c r="G192" s="2352"/>
      <c r="H192" s="3951"/>
      <c r="I192" s="3952"/>
      <c r="J192" s="3953"/>
      <c r="K192" s="3949"/>
      <c r="L192" s="3949"/>
      <c r="M192" s="3949"/>
    </row>
    <row r="193" spans="1:24" ht="16" hidden="1" customHeight="1">
      <c r="A193" s="2121"/>
      <c r="D193" s="2121"/>
      <c r="E193" s="2121"/>
      <c r="F193" s="2124"/>
      <c r="G193" s="2124"/>
      <c r="H193" s="2124"/>
      <c r="I193" s="2124"/>
      <c r="J193" s="2226"/>
      <c r="K193" s="2226"/>
      <c r="L193" s="2226"/>
      <c r="M193" s="2123"/>
      <c r="N193" s="2124"/>
      <c r="P193" s="2133"/>
    </row>
    <row r="194" spans="1:24" ht="16" customHeight="1" thickBot="1">
      <c r="A194" s="2121"/>
      <c r="B194" s="2260" t="s">
        <v>3240</v>
      </c>
      <c r="C194" s="2121"/>
      <c r="D194" s="2121"/>
      <c r="E194" s="2121"/>
      <c r="F194" s="2121"/>
      <c r="G194" s="2121"/>
      <c r="H194" s="2121"/>
      <c r="I194" s="2121"/>
      <c r="J194" s="2121"/>
      <c r="K194" s="2121"/>
      <c r="M194" s="2123"/>
      <c r="O194" s="2133"/>
    </row>
    <row r="195" spans="1:24" ht="16" customHeight="1" thickTop="1" thickBot="1">
      <c r="A195" s="3868" t="s">
        <v>7093</v>
      </c>
      <c r="B195" s="3869"/>
      <c r="C195" s="3869"/>
      <c r="D195" s="3869"/>
      <c r="E195" s="3869"/>
      <c r="F195" s="3869"/>
      <c r="G195" s="3869"/>
      <c r="H195" s="3869"/>
      <c r="I195" s="3869"/>
      <c r="J195" s="3869"/>
      <c r="K195" s="3869"/>
      <c r="L195" s="3869"/>
      <c r="M195" s="3869"/>
      <c r="N195" s="3869"/>
      <c r="O195" s="3869"/>
      <c r="P195" s="3870"/>
      <c r="Q195" s="2209"/>
    </row>
    <row r="196" spans="1:24" ht="16" customHeight="1" thickTop="1">
      <c r="B196" s="2249" t="s">
        <v>1730</v>
      </c>
      <c r="C196" s="2147"/>
      <c r="D196" s="2249"/>
      <c r="E196" s="2182"/>
      <c r="F196" s="2161"/>
      <c r="G196" s="2161"/>
      <c r="H196" s="2161"/>
      <c r="I196" s="2161"/>
      <c r="J196" s="2161"/>
      <c r="K196" s="2161"/>
      <c r="L196" s="2161"/>
      <c r="M196" s="2161"/>
      <c r="N196" s="2250"/>
      <c r="O196" s="2251"/>
      <c r="P196" s="2124"/>
    </row>
    <row r="197" spans="1:24" ht="16" customHeight="1">
      <c r="A197" s="3871"/>
      <c r="B197" s="3872"/>
      <c r="C197" s="3872"/>
      <c r="D197" s="3872"/>
      <c r="E197" s="3872"/>
      <c r="F197" s="3872"/>
      <c r="G197" s="3872"/>
      <c r="H197" s="3872"/>
      <c r="I197" s="3872"/>
      <c r="J197" s="3872"/>
      <c r="K197" s="3872"/>
      <c r="L197" s="3872"/>
      <c r="M197" s="3872"/>
      <c r="N197" s="3872"/>
      <c r="O197" s="3872"/>
      <c r="P197" s="3873"/>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6"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6" customHeight="1">
      <c r="A201" s="2138" t="s">
        <v>1841</v>
      </c>
      <c r="B201" s="2131" t="s">
        <v>6937</v>
      </c>
      <c r="M201" s="2123">
        <v>5</v>
      </c>
      <c r="N201" s="2254"/>
      <c r="O201" s="2353"/>
      <c r="P201" s="2354"/>
      <c r="Q201" s="2320" t="str">
        <f>IF(OR($O201=$M201,$O201=$M201-1,$O201=0,$O201=""),"","*CHECK!*")</f>
        <v/>
      </c>
      <c r="R201" s="2305"/>
      <c r="S201" s="2118"/>
      <c r="T201" s="2118"/>
      <c r="U201" s="2118"/>
      <c r="V201" s="2118"/>
    </row>
    <row r="202" spans="1:24" s="2121" customFormat="1" ht="16" customHeight="1">
      <c r="A202" s="2138" t="s">
        <v>1843</v>
      </c>
      <c r="B202" s="2131" t="s">
        <v>6935</v>
      </c>
      <c r="M202" s="2123">
        <v>3</v>
      </c>
      <c r="N202" s="2254"/>
      <c r="O202" s="2240">
        <v>3</v>
      </c>
      <c r="P202" s="2241"/>
      <c r="Q202" s="2320" t="str">
        <f>IF(OR($O202=$M202,$O202=$M202-1,$O202=0,$O202=""),"","*CHECK!*")</f>
        <v/>
      </c>
      <c r="R202" s="2305"/>
    </row>
    <row r="203" spans="1:24" ht="16" customHeight="1">
      <c r="A203" s="2138" t="s">
        <v>698</v>
      </c>
      <c r="B203" s="2131" t="s">
        <v>6936</v>
      </c>
      <c r="G203" s="2226" t="s">
        <v>6229</v>
      </c>
      <c r="I203" s="2282"/>
      <c r="L203" s="2118"/>
      <c r="M203" s="2123">
        <v>3</v>
      </c>
      <c r="N203" s="2254"/>
      <c r="O203" s="2243"/>
      <c r="P203" s="2244"/>
      <c r="Q203" s="2320" t="str">
        <f>IF(OR($O203=$M203,$O203=$M203-1,$O203=0,$O203=""),"","*CHECK!*")</f>
        <v/>
      </c>
      <c r="R203" s="2305"/>
    </row>
    <row r="204" spans="1:24" ht="16" customHeight="1" thickBot="1">
      <c r="A204" s="2121"/>
      <c r="B204" s="2260" t="s">
        <v>3240</v>
      </c>
      <c r="C204" s="2121"/>
      <c r="D204" s="2121"/>
      <c r="E204" s="2121"/>
      <c r="F204" s="2121"/>
      <c r="G204" s="2121"/>
      <c r="H204" s="2121"/>
      <c r="I204" s="2121"/>
      <c r="J204" s="2121"/>
      <c r="K204" s="2121"/>
      <c r="M204" s="2123"/>
      <c r="O204" s="2133"/>
    </row>
    <row r="205" spans="1:24" ht="16" customHeight="1" thickTop="1" thickBot="1">
      <c r="A205" s="3868" t="s">
        <v>7132</v>
      </c>
      <c r="B205" s="3869"/>
      <c r="C205" s="3869"/>
      <c r="D205" s="3869"/>
      <c r="E205" s="3869"/>
      <c r="F205" s="3869"/>
      <c r="G205" s="3869"/>
      <c r="H205" s="3869"/>
      <c r="I205" s="3869"/>
      <c r="J205" s="3869"/>
      <c r="K205" s="3869"/>
      <c r="L205" s="3869"/>
      <c r="M205" s="3869"/>
      <c r="N205" s="3869"/>
      <c r="O205" s="3869"/>
      <c r="P205" s="3870"/>
      <c r="Q205" s="2209"/>
    </row>
    <row r="206" spans="1:24" ht="16" customHeight="1" thickTop="1">
      <c r="B206" s="2249" t="s">
        <v>1730</v>
      </c>
      <c r="C206" s="2147"/>
      <c r="D206" s="2249"/>
      <c r="E206" s="2182"/>
      <c r="F206" s="2161"/>
      <c r="G206" s="2161"/>
      <c r="H206" s="2161"/>
      <c r="I206" s="2161"/>
      <c r="J206" s="2161"/>
      <c r="K206" s="2161"/>
      <c r="L206" s="2161"/>
      <c r="M206" s="2161"/>
      <c r="N206" s="2250"/>
      <c r="O206" s="2251"/>
      <c r="P206" s="2124"/>
    </row>
    <row r="207" spans="1:24" ht="16" customHeight="1">
      <c r="A207" s="3871"/>
      <c r="B207" s="3872"/>
      <c r="C207" s="3872"/>
      <c r="D207" s="3872"/>
      <c r="E207" s="3872"/>
      <c r="F207" s="3872"/>
      <c r="G207" s="3872"/>
      <c r="H207" s="3872"/>
      <c r="I207" s="3872"/>
      <c r="J207" s="3872"/>
      <c r="K207" s="3872"/>
      <c r="L207" s="3872"/>
      <c r="M207" s="3872"/>
      <c r="N207" s="3872"/>
      <c r="O207" s="3872"/>
      <c r="P207" s="3873"/>
      <c r="Q207" s="2252"/>
    </row>
    <row r="208" spans="1:24" ht="10.5" customHeight="1">
      <c r="T208" s="2355"/>
      <c r="U208" s="2355"/>
    </row>
    <row r="209" spans="1:22" s="2262" customFormat="1" ht="9.75" customHeight="1" thickBot="1">
      <c r="N209" s="2327"/>
      <c r="O209" s="2328"/>
      <c r="P209" s="2328"/>
      <c r="T209" s="2356"/>
      <c r="U209" s="2356"/>
    </row>
    <row r="210" spans="1:22" ht="16"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6"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6"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6" customHeight="1">
      <c r="A213" s="2138"/>
      <c r="B213" s="2285" t="s">
        <v>1846</v>
      </c>
      <c r="C213" s="2226" t="s">
        <v>6613</v>
      </c>
      <c r="D213" s="2282"/>
      <c r="E213" s="2282"/>
      <c r="G213" s="2120"/>
      <c r="L213" s="2232"/>
      <c r="M213" s="2123">
        <v>2</v>
      </c>
      <c r="N213" s="2377"/>
      <c r="O213" s="2269" t="s">
        <v>7052</v>
      </c>
      <c r="P213" s="2270"/>
      <c r="Q213" s="2320"/>
      <c r="R213" s="2305"/>
      <c r="T213" s="2355"/>
      <c r="U213" s="2355"/>
    </row>
    <row r="214" spans="1:22" s="2121" customFormat="1" ht="16" customHeight="1">
      <c r="A214" s="2138"/>
      <c r="B214" s="2285" t="s">
        <v>2332</v>
      </c>
      <c r="C214" s="2226" t="s">
        <v>6614</v>
      </c>
      <c r="D214" s="2282"/>
      <c r="E214" s="2282"/>
      <c r="G214" s="2120"/>
      <c r="K214" s="2254"/>
      <c r="M214" s="2123">
        <v>1</v>
      </c>
      <c r="N214" s="2377"/>
      <c r="O214" s="2246" t="s">
        <v>7052</v>
      </c>
      <c r="P214" s="2247"/>
      <c r="R214" s="2120"/>
      <c r="T214" s="2355"/>
      <c r="U214" s="2355"/>
    </row>
    <row r="215" spans="1:22" ht="16"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2" t="s">
        <v>6894</v>
      </c>
      <c r="C216" s="3942"/>
      <c r="D216" s="3942"/>
      <c r="E216" s="3942"/>
      <c r="F216" s="3942"/>
      <c r="G216" s="3942"/>
      <c r="H216" s="3942"/>
      <c r="I216" s="3942"/>
      <c r="J216" s="3942"/>
      <c r="K216" s="3942"/>
      <c r="L216" s="3942"/>
      <c r="M216" s="2123"/>
      <c r="N216" s="2254"/>
      <c r="O216" s="2358" t="s">
        <v>7052</v>
      </c>
      <c r="P216" s="2359"/>
      <c r="R216" s="2232"/>
      <c r="T216" s="2355"/>
      <c r="U216" s="2355"/>
    </row>
    <row r="217" spans="1:22" ht="16"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7" t="s">
        <v>6938</v>
      </c>
      <c r="C218" s="3877"/>
      <c r="D218" s="3877"/>
      <c r="E218" s="3877"/>
      <c r="F218" s="3877"/>
      <c r="G218" s="3877"/>
      <c r="H218" s="3877"/>
      <c r="I218" s="3877"/>
      <c r="J218" s="3877"/>
      <c r="K218" s="3877"/>
      <c r="L218" s="3877"/>
      <c r="M218" s="2123"/>
      <c r="N218" s="2254"/>
      <c r="O218" s="2325" t="s">
        <v>2649</v>
      </c>
      <c r="P218" s="2326"/>
      <c r="R218" s="2232"/>
      <c r="T218" s="2355"/>
      <c r="U218" s="2355"/>
    </row>
    <row r="219" spans="1:22" ht="16" customHeight="1">
      <c r="A219" s="2121"/>
      <c r="B219" s="2249" t="s">
        <v>1730</v>
      </c>
      <c r="C219" s="2147"/>
      <c r="D219" s="2249"/>
      <c r="E219" s="2182"/>
      <c r="F219" s="2161"/>
      <c r="G219" s="2161"/>
      <c r="H219" s="2161"/>
      <c r="I219" s="2161"/>
      <c r="J219" s="2161"/>
      <c r="K219" s="2161"/>
      <c r="L219" s="2161"/>
      <c r="M219" s="2161"/>
      <c r="N219" s="2250"/>
      <c r="O219" s="2251"/>
      <c r="P219" s="2124"/>
    </row>
    <row r="220" spans="1:22" ht="16" customHeight="1">
      <c r="A220" s="3871"/>
      <c r="B220" s="3872"/>
      <c r="C220" s="3872"/>
      <c r="D220" s="3872"/>
      <c r="E220" s="3872"/>
      <c r="F220" s="3872"/>
      <c r="G220" s="3872"/>
      <c r="H220" s="3872"/>
      <c r="I220" s="3872"/>
      <c r="J220" s="3872"/>
      <c r="K220" s="3872"/>
      <c r="L220" s="3872"/>
      <c r="M220" s="3872"/>
      <c r="N220" s="3872"/>
      <c r="O220" s="3872"/>
      <c r="P220" s="3873"/>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6" customHeight="1" thickBot="1">
      <c r="A223" s="2142" t="s">
        <v>3369</v>
      </c>
      <c r="B223" s="2143" t="s">
        <v>6572</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6" customHeight="1">
      <c r="A224" s="2124"/>
      <c r="B224" s="2184" t="s">
        <v>6858</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3932" t="s">
        <v>6895</v>
      </c>
      <c r="C225" s="3932"/>
      <c r="D225" s="3932"/>
      <c r="E225" s="3932"/>
      <c r="F225" s="3932"/>
      <c r="G225" s="3932"/>
      <c r="H225" s="3932"/>
      <c r="I225" s="3932"/>
      <c r="J225" s="3932"/>
      <c r="K225" s="3932"/>
      <c r="L225" s="3932"/>
      <c r="M225" s="2139"/>
      <c r="O225" s="2139"/>
      <c r="P225" s="2139"/>
      <c r="Q225" s="2342"/>
      <c r="R225" s="2118"/>
      <c r="S225" s="2118"/>
      <c r="T225" s="2118"/>
      <c r="U225" s="2118"/>
      <c r="V225" s="2118"/>
    </row>
    <row r="226" spans="1:24" ht="31" customHeight="1">
      <c r="B226" s="3892" t="s">
        <v>7095</v>
      </c>
      <c r="C226" s="3893"/>
      <c r="D226" s="3893"/>
      <c r="E226" s="3893"/>
      <c r="F226" s="3893"/>
      <c r="G226" s="3893"/>
      <c r="H226" s="3893"/>
      <c r="I226" s="3893"/>
      <c r="J226" s="3893"/>
      <c r="K226" s="3893"/>
      <c r="L226" s="3893"/>
      <c r="M226" s="3893"/>
      <c r="N226" s="3893"/>
      <c r="O226" s="3893"/>
      <c r="P226" s="3894"/>
      <c r="Q226" s="2342"/>
      <c r="R226" s="2118"/>
      <c r="S226" s="2118"/>
      <c r="T226" s="2118"/>
      <c r="U226" s="2118"/>
      <c r="V226" s="2118"/>
    </row>
    <row r="227" spans="1:24" ht="16"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6" customHeight="1" thickTop="1" thickBot="1">
      <c r="A228" s="3868" t="s">
        <v>7096</v>
      </c>
      <c r="B228" s="3869"/>
      <c r="C228" s="3869"/>
      <c r="D228" s="3869"/>
      <c r="E228" s="3869"/>
      <c r="F228" s="3869"/>
      <c r="G228" s="3869"/>
      <c r="H228" s="3869"/>
      <c r="I228" s="3869"/>
      <c r="J228" s="3869"/>
      <c r="K228" s="3869"/>
      <c r="L228" s="3869"/>
      <c r="M228" s="3869"/>
      <c r="N228" s="3869"/>
      <c r="O228" s="3869"/>
      <c r="P228" s="3870"/>
      <c r="Q228" s="2209"/>
    </row>
    <row r="229" spans="1:24" ht="16"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6" customHeight="1">
      <c r="A230" s="3871"/>
      <c r="B230" s="3872"/>
      <c r="C230" s="3872"/>
      <c r="D230" s="3872"/>
      <c r="E230" s="3872"/>
      <c r="F230" s="3872"/>
      <c r="G230" s="3872"/>
      <c r="H230" s="3872"/>
      <c r="I230" s="3872"/>
      <c r="J230" s="3872"/>
      <c r="K230" s="3872"/>
      <c r="L230" s="3872"/>
      <c r="M230" s="3872"/>
      <c r="N230" s="3872"/>
      <c r="O230" s="3872"/>
      <c r="P230" s="3873"/>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6"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6" customHeight="1">
      <c r="A234" s="2142"/>
      <c r="B234" s="2121" t="s">
        <v>6896</v>
      </c>
      <c r="D234" s="2143"/>
      <c r="E234" s="2143"/>
      <c r="J234" s="2361"/>
      <c r="M234" s="2210"/>
      <c r="O234" s="3943" t="s">
        <v>6897</v>
      </c>
      <c r="P234" s="3943" t="s">
        <v>3150</v>
      </c>
      <c r="Q234" s="2203"/>
      <c r="R234" s="2118"/>
      <c r="S234" s="2118"/>
      <c r="T234" s="2118"/>
      <c r="U234" s="2118"/>
      <c r="V234" s="2118"/>
      <c r="W234" s="2120"/>
      <c r="X234" s="2120"/>
    </row>
    <row r="235" spans="1:24" s="2121" customFormat="1" ht="16" customHeight="1">
      <c r="A235" s="2142"/>
      <c r="C235" s="2121" t="s">
        <v>6692</v>
      </c>
      <c r="I235" s="3933"/>
      <c r="J235" s="3934"/>
      <c r="K235" s="3875"/>
      <c r="L235" s="3876"/>
      <c r="M235" s="2210"/>
      <c r="O235" s="3865"/>
      <c r="P235" s="3865"/>
      <c r="Q235" s="2203"/>
      <c r="R235" s="2118"/>
      <c r="S235" s="2118"/>
      <c r="T235" s="2118"/>
      <c r="U235" s="2118"/>
      <c r="V235" s="2118"/>
      <c r="W235" s="2120"/>
      <c r="X235" s="2120"/>
    </row>
    <row r="236" spans="1:24" s="2121" customFormat="1" ht="16" customHeight="1">
      <c r="A236" s="2142"/>
      <c r="C236" s="2121" t="s">
        <v>6691</v>
      </c>
      <c r="I236" s="3935"/>
      <c r="J236" s="3936"/>
      <c r="M236" s="2210"/>
      <c r="O236" s="3865"/>
      <c r="P236" s="3865"/>
      <c r="Q236" s="2203"/>
      <c r="R236" s="2118"/>
      <c r="S236" s="2118"/>
      <c r="T236" s="2118"/>
      <c r="U236" s="2118"/>
      <c r="V236" s="2118"/>
      <c r="W236" s="2120"/>
      <c r="X236" s="2120"/>
    </row>
    <row r="237" spans="1:24" s="2121" customFormat="1" ht="16" customHeight="1">
      <c r="A237" s="2142"/>
      <c r="C237" s="2121" t="s">
        <v>6693</v>
      </c>
      <c r="I237" s="3940" t="s">
        <v>6694</v>
      </c>
      <c r="J237" s="3941"/>
      <c r="K237" s="3875"/>
      <c r="L237" s="3876"/>
      <c r="M237" s="2210"/>
      <c r="O237" s="3865"/>
      <c r="P237" s="3865"/>
      <c r="Q237" s="2203"/>
      <c r="R237" s="2118"/>
      <c r="S237" s="2118"/>
      <c r="T237" s="2118"/>
      <c r="U237" s="2118"/>
      <c r="V237" s="2118"/>
      <c r="W237" s="2120"/>
      <c r="X237" s="2120"/>
    </row>
    <row r="238" spans="1:24" ht="4.5" customHeight="1">
      <c r="A238" s="2142"/>
      <c r="B238" s="2121"/>
      <c r="H238" s="2131"/>
      <c r="M238" s="2124"/>
      <c r="N238" s="2254"/>
      <c r="O238" s="3866"/>
      <c r="P238" s="3866"/>
      <c r="Q238" s="2203"/>
      <c r="R238" s="2267"/>
      <c r="S238" s="2267"/>
      <c r="T238" s="2267"/>
      <c r="U238" s="2267"/>
    </row>
    <row r="239" spans="1:24" ht="30.75" customHeight="1" thickBot="1">
      <c r="A239" s="2362"/>
      <c r="B239" s="2254"/>
      <c r="C239" s="3942" t="s">
        <v>6859</v>
      </c>
      <c r="D239" s="3942"/>
      <c r="E239" s="3942"/>
      <c r="F239" s="3942"/>
      <c r="G239" s="3942"/>
      <c r="H239" s="3942"/>
      <c r="I239" s="3942"/>
      <c r="J239" s="3942"/>
      <c r="K239" s="3942"/>
      <c r="L239" s="3942"/>
      <c r="M239" s="2121"/>
      <c r="N239" s="2254"/>
      <c r="O239" s="2246" t="s">
        <v>7052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6"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7" t="s">
        <v>6587</v>
      </c>
      <c r="D242" s="3877"/>
      <c r="E242" s="3877"/>
      <c r="F242" s="3877"/>
      <c r="G242" s="3877"/>
      <c r="H242" s="3877"/>
      <c r="I242" s="3877"/>
      <c r="J242" s="3877"/>
      <c r="K242" s="3877"/>
      <c r="L242" s="3877"/>
      <c r="M242" s="3877"/>
      <c r="N242" s="2377"/>
      <c r="O242" s="2256" t="s">
        <v>2649</v>
      </c>
      <c r="P242" s="2257"/>
      <c r="Q242" s="2366"/>
      <c r="R242" s="2367"/>
      <c r="S242" s="2367"/>
      <c r="T242" s="2367"/>
      <c r="U242" s="2367"/>
    </row>
    <row r="243" spans="1:22" s="2157" customFormat="1" ht="29.25" customHeight="1" thickBot="1">
      <c r="A243" s="2365"/>
      <c r="B243" s="2285"/>
      <c r="C243" s="3877" t="s">
        <v>6860</v>
      </c>
      <c r="D243" s="3877"/>
      <c r="E243" s="3877"/>
      <c r="F243" s="3877"/>
      <c r="G243" s="3877"/>
      <c r="H243" s="3877"/>
      <c r="I243" s="3877"/>
      <c r="J243" s="3877"/>
      <c r="K243" s="3877"/>
      <c r="L243" s="3877"/>
      <c r="M243" s="3877"/>
      <c r="N243" s="2377"/>
      <c r="O243" s="2325" t="s">
        <v>2649</v>
      </c>
      <c r="P243" s="2326"/>
      <c r="Q243" s="2366"/>
      <c r="R243" s="2367"/>
      <c r="S243" s="2367"/>
      <c r="T243" s="2367"/>
      <c r="U243" s="2367"/>
    </row>
    <row r="244" spans="1:22" ht="16"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6" customHeight="1">
      <c r="A245" s="2124"/>
      <c r="B245" s="2341"/>
      <c r="C245" s="2121" t="s">
        <v>6861</v>
      </c>
      <c r="D245" s="2184"/>
      <c r="L245" s="2184"/>
      <c r="M245" s="2139"/>
      <c r="N245" s="2254"/>
      <c r="O245" s="2256" t="s">
        <v>7052</v>
      </c>
      <c r="P245" s="2257"/>
      <c r="Q245" s="2364"/>
      <c r="R245" s="2305"/>
      <c r="S245" s="2118"/>
      <c r="T245" s="2118"/>
      <c r="U245" s="2118"/>
      <c r="V245" s="2118"/>
    </row>
    <row r="246" spans="1:22" s="2157" customFormat="1" ht="30" customHeight="1">
      <c r="A246" s="2365"/>
      <c r="B246" s="2285"/>
      <c r="C246" s="3877" t="s">
        <v>6934</v>
      </c>
      <c r="D246" s="3877"/>
      <c r="E246" s="3877"/>
      <c r="F246" s="3877"/>
      <c r="G246" s="3877"/>
      <c r="H246" s="3877"/>
      <c r="I246" s="3877"/>
      <c r="J246" s="3877"/>
      <c r="K246" s="3877"/>
      <c r="L246" s="3877"/>
      <c r="M246" s="3877"/>
      <c r="N246" s="2377"/>
      <c r="O246" s="2325" t="s">
        <v>7052</v>
      </c>
      <c r="P246" s="2326"/>
      <c r="Q246" s="2366"/>
      <c r="R246" s="2367"/>
      <c r="S246" s="2367"/>
      <c r="T246" s="2367"/>
      <c r="U246" s="2367"/>
    </row>
    <row r="247" spans="1:22" ht="16"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34" customHeight="1" thickTop="1" thickBot="1">
      <c r="A248" s="3868" t="s">
        <v>7099</v>
      </c>
      <c r="B248" s="3869"/>
      <c r="C248" s="3869"/>
      <c r="D248" s="3869"/>
      <c r="E248" s="3869"/>
      <c r="F248" s="3869"/>
      <c r="G248" s="3869"/>
      <c r="H248" s="3869"/>
      <c r="I248" s="3869"/>
      <c r="J248" s="3869"/>
      <c r="K248" s="3869"/>
      <c r="L248" s="3869"/>
      <c r="M248" s="3869"/>
      <c r="N248" s="3869"/>
      <c r="O248" s="3869"/>
      <c r="P248" s="3870"/>
      <c r="Q248" s="2209"/>
    </row>
    <row r="249" spans="1:22" ht="16"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6" customHeight="1">
      <c r="A250" s="3871"/>
      <c r="B250" s="3872"/>
      <c r="C250" s="3872"/>
      <c r="D250" s="3872"/>
      <c r="E250" s="3872"/>
      <c r="F250" s="3872"/>
      <c r="G250" s="3872"/>
      <c r="H250" s="3872"/>
      <c r="I250" s="3872"/>
      <c r="J250" s="3872"/>
      <c r="K250" s="3872"/>
      <c r="L250" s="3872"/>
      <c r="M250" s="3872"/>
      <c r="N250" s="3872"/>
      <c r="O250" s="3872"/>
      <c r="P250" s="3873"/>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6"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6" customHeight="1">
      <c r="A254" s="2124" t="s">
        <v>1841</v>
      </c>
      <c r="B254" s="2341" t="s">
        <v>6584</v>
      </c>
      <c r="D254" s="2184"/>
      <c r="E254" s="2184" t="s">
        <v>6595</v>
      </c>
      <c r="F254" s="2184"/>
      <c r="G254" s="2184"/>
      <c r="H254" s="2184"/>
      <c r="I254" s="3937"/>
      <c r="J254" s="3938"/>
      <c r="K254" s="3938"/>
      <c r="L254" s="3939"/>
      <c r="M254" s="2139">
        <v>2</v>
      </c>
      <c r="N254" s="2254"/>
      <c r="O254" s="2314"/>
      <c r="P254" s="2315"/>
      <c r="Q254" s="2364" t="str">
        <f>IF(OR(O254=0,O254="",O254=$M254),"","Check!")</f>
        <v/>
      </c>
      <c r="R254" s="2305"/>
      <c r="S254" s="2118"/>
      <c r="T254" s="2118"/>
      <c r="U254" s="2118"/>
      <c r="V254" s="2118"/>
    </row>
    <row r="255" spans="1:22" ht="16"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6"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6" customHeight="1" thickTop="1" thickBot="1">
      <c r="A257" s="3868" t="s">
        <v>7100</v>
      </c>
      <c r="B257" s="3869"/>
      <c r="C257" s="3869"/>
      <c r="D257" s="3869"/>
      <c r="E257" s="3869"/>
      <c r="F257" s="3869"/>
      <c r="G257" s="3869"/>
      <c r="H257" s="3869"/>
      <c r="I257" s="3869"/>
      <c r="J257" s="3869"/>
      <c r="K257" s="3869"/>
      <c r="L257" s="3869"/>
      <c r="M257" s="3869"/>
      <c r="N257" s="3869"/>
      <c r="O257" s="3869"/>
      <c r="P257" s="3870"/>
      <c r="Q257" s="2209"/>
    </row>
    <row r="258" spans="1:19" ht="16"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6" customHeight="1">
      <c r="A259" s="3871"/>
      <c r="B259" s="3872"/>
      <c r="C259" s="3872"/>
      <c r="D259" s="3872"/>
      <c r="E259" s="3872"/>
      <c r="F259" s="3872"/>
      <c r="G259" s="3872"/>
      <c r="H259" s="3872"/>
      <c r="I259" s="3872"/>
      <c r="J259" s="3872"/>
      <c r="K259" s="3872"/>
      <c r="L259" s="3872"/>
      <c r="M259" s="3872"/>
      <c r="N259" s="3872"/>
      <c r="O259" s="3872"/>
      <c r="P259" s="3873"/>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6" customHeight="1">
      <c r="A262" s="2338" t="s">
        <v>3371</v>
      </c>
      <c r="B262" s="2143" t="s">
        <v>3342</v>
      </c>
      <c r="C262" s="2227"/>
      <c r="E262" s="2121"/>
      <c r="K262" s="2121"/>
      <c r="L262" s="2121"/>
      <c r="M262" s="2124">
        <v>2</v>
      </c>
      <c r="N262" s="2123"/>
      <c r="O262" s="2123"/>
      <c r="P262" s="2421">
        <f>IF($O$36="9%",P263+P265,0)</f>
        <v>0</v>
      </c>
      <c r="Q262" s="2203" t="s">
        <v>416</v>
      </c>
    </row>
    <row r="263" spans="1:19" ht="16" customHeight="1">
      <c r="A263" s="2124" t="s">
        <v>1841</v>
      </c>
      <c r="B263" s="2131" t="s">
        <v>3343</v>
      </c>
      <c r="C263" s="2227"/>
      <c r="E263" s="2121"/>
      <c r="G263" s="2368"/>
      <c r="I263" s="2226"/>
      <c r="K263" s="2420"/>
      <c r="M263" s="2123">
        <v>2</v>
      </c>
      <c r="N263" s="2254"/>
      <c r="O263" s="2120"/>
      <c r="P263" s="2422"/>
      <c r="Q263" s="2203"/>
      <c r="R263" s="2305"/>
    </row>
    <row r="264" spans="1:19" s="2121" customFormat="1" ht="16" customHeight="1">
      <c r="A264" s="2124"/>
      <c r="B264" s="2121" t="s">
        <v>6900</v>
      </c>
      <c r="N264" s="2144"/>
      <c r="O264" s="2324" t="s">
        <v>2652</v>
      </c>
      <c r="P264" s="2369"/>
      <c r="R264" s="2232"/>
    </row>
    <row r="265" spans="1:19" ht="16" customHeight="1">
      <c r="A265" s="2124" t="s">
        <v>1843</v>
      </c>
      <c r="B265" s="2131" t="s">
        <v>3344</v>
      </c>
      <c r="C265" s="2227"/>
      <c r="E265" s="2121"/>
      <c r="G265" s="2368"/>
      <c r="I265" s="2186"/>
      <c r="L265" s="2139"/>
      <c r="M265" s="2123">
        <v>2</v>
      </c>
      <c r="N265" s="2254"/>
      <c r="O265" s="2120"/>
      <c r="P265" s="2369"/>
      <c r="Q265" s="2203"/>
      <c r="R265" s="2305"/>
    </row>
    <row r="266" spans="1:19" s="2121" customFormat="1" ht="16" customHeight="1">
      <c r="A266" s="2338"/>
      <c r="B266" s="2121" t="s">
        <v>6900</v>
      </c>
      <c r="M266" s="2124"/>
      <c r="N266" s="2144"/>
      <c r="O266" s="2324" t="s">
        <v>2652</v>
      </c>
      <c r="P266" s="2375"/>
      <c r="Q266" s="2203"/>
    </row>
    <row r="267" spans="1:19" ht="16" customHeight="1">
      <c r="B267" s="2249" t="s">
        <v>1730</v>
      </c>
      <c r="C267" s="2147"/>
      <c r="D267" s="2249"/>
      <c r="E267" s="2182"/>
      <c r="F267" s="2161"/>
      <c r="G267" s="2161"/>
      <c r="H267" s="2161"/>
      <c r="I267" s="2161"/>
      <c r="J267" s="2161"/>
      <c r="K267" s="2161"/>
      <c r="L267" s="2161"/>
      <c r="M267" s="2161"/>
      <c r="N267" s="2250"/>
      <c r="O267" s="2251"/>
      <c r="P267" s="2124"/>
    </row>
    <row r="268" spans="1:19" ht="16" customHeight="1">
      <c r="A268" s="3871"/>
      <c r="B268" s="3872"/>
      <c r="C268" s="3872"/>
      <c r="D268" s="3872"/>
      <c r="E268" s="3872"/>
      <c r="F268" s="3872"/>
      <c r="G268" s="3872"/>
      <c r="H268" s="3872"/>
      <c r="I268" s="3872"/>
      <c r="J268" s="3872"/>
      <c r="K268" s="3872"/>
      <c r="L268" s="3872"/>
      <c r="M268" s="3872"/>
      <c r="N268" s="3872"/>
      <c r="O268" s="3872"/>
      <c r="P268" s="3873"/>
      <c r="Q268" s="2252"/>
    </row>
    <row r="269" spans="1:19" ht="7.5" customHeight="1"/>
    <row r="270" spans="1:19" s="2262" customFormat="1" ht="7.5" customHeight="1" thickBot="1">
      <c r="N270" s="2327"/>
      <c r="O270" s="2328"/>
      <c r="P270" s="2328"/>
    </row>
    <row r="271" spans="1:19" ht="16"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6" customHeight="1">
      <c r="A272" s="2138"/>
      <c r="B272" s="2233" t="s">
        <v>3153</v>
      </c>
      <c r="D272" s="2227"/>
      <c r="E272" s="2227"/>
      <c r="G272" s="2121"/>
      <c r="I272" s="3874" t="s">
        <v>6059</v>
      </c>
      <c r="J272" s="3875"/>
      <c r="K272" s="3875"/>
      <c r="L272" s="3876"/>
      <c r="M272" s="2123"/>
      <c r="N272" s="2123"/>
      <c r="O272" s="2139"/>
      <c r="P272" s="2139"/>
      <c r="Q272" s="2320"/>
      <c r="R272" s="2370"/>
      <c r="S272" s="2370"/>
    </row>
    <row r="273" spans="1:20" ht="16" hidden="1" customHeight="1">
      <c r="B273" s="2233"/>
      <c r="D273" s="2121"/>
      <c r="E273" s="2121"/>
      <c r="F273" s="2121"/>
      <c r="G273" s="2121"/>
      <c r="H273" s="2121"/>
      <c r="I273" s="2121"/>
      <c r="J273" s="2121"/>
      <c r="K273" s="2121"/>
      <c r="L273" s="2121"/>
      <c r="M273" s="2121"/>
      <c r="N273" s="2254"/>
      <c r="O273" s="2254"/>
      <c r="P273" s="2254"/>
    </row>
    <row r="274" spans="1:20" s="2121" customFormat="1" ht="16" customHeight="1" thickBot="1">
      <c r="B274" s="2260" t="s">
        <v>3240</v>
      </c>
      <c r="M274" s="2123"/>
      <c r="N274" s="2123"/>
      <c r="O274" s="2133"/>
      <c r="P274" s="2124"/>
    </row>
    <row r="275" spans="1:20" ht="16" customHeight="1" thickTop="1" thickBot="1">
      <c r="A275" s="3868" t="s">
        <v>7097</v>
      </c>
      <c r="B275" s="3869"/>
      <c r="C275" s="3869"/>
      <c r="D275" s="3869"/>
      <c r="E275" s="3869"/>
      <c r="F275" s="3869"/>
      <c r="G275" s="3869"/>
      <c r="H275" s="3869"/>
      <c r="I275" s="3869"/>
      <c r="J275" s="3869"/>
      <c r="K275" s="3869"/>
      <c r="L275" s="3869"/>
      <c r="M275" s="3869"/>
      <c r="N275" s="3869"/>
      <c r="O275" s="3869"/>
      <c r="P275" s="3870"/>
      <c r="Q275" s="2209"/>
    </row>
    <row r="276" spans="1:20" s="2121" customFormat="1" ht="16" customHeight="1" thickTop="1">
      <c r="B276" s="2248" t="s">
        <v>1730</v>
      </c>
      <c r="D276" s="2248"/>
      <c r="E276" s="2299"/>
      <c r="F276" s="2299"/>
      <c r="G276" s="2299"/>
      <c r="H276" s="2299"/>
      <c r="I276" s="2299"/>
      <c r="J276" s="2299"/>
      <c r="K276" s="2299"/>
      <c r="L276" s="2299"/>
      <c r="M276" s="2299"/>
      <c r="N276" s="2268"/>
      <c r="O276" s="2125"/>
      <c r="P276" s="2124"/>
      <c r="Q276" s="2120"/>
    </row>
    <row r="277" spans="1:20" ht="16" customHeight="1">
      <c r="A277" s="3871"/>
      <c r="B277" s="3872"/>
      <c r="C277" s="3872"/>
      <c r="D277" s="3872"/>
      <c r="E277" s="3872"/>
      <c r="F277" s="3872"/>
      <c r="G277" s="3872"/>
      <c r="H277" s="3872"/>
      <c r="I277" s="3872"/>
      <c r="J277" s="3872"/>
      <c r="K277" s="3872"/>
      <c r="L277" s="3872"/>
      <c r="M277" s="3872"/>
      <c r="N277" s="3872"/>
      <c r="O277" s="3872"/>
      <c r="P277" s="3873"/>
      <c r="Q277" s="2252"/>
    </row>
    <row r="278" spans="1:20" ht="7.5" customHeight="1"/>
    <row r="279" spans="1:20" s="2262" customFormat="1" ht="7.5" customHeight="1" thickBot="1">
      <c r="N279" s="2327"/>
      <c r="O279" s="2328"/>
      <c r="P279" s="2328"/>
    </row>
    <row r="280" spans="1:20" ht="16"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6"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1" customHeight="1">
      <c r="A282" s="2313"/>
      <c r="B282" s="3930" t="s">
        <v>6862</v>
      </c>
      <c r="C282" s="3930"/>
      <c r="D282" s="3930"/>
      <c r="E282" s="3930"/>
      <c r="F282" s="3930"/>
      <c r="G282" s="3930"/>
      <c r="H282" s="3930"/>
      <c r="I282" s="3930"/>
      <c r="J282" s="3930"/>
      <c r="K282" s="3930"/>
      <c r="L282" s="3930"/>
      <c r="N282" s="2120"/>
      <c r="O282" s="2374" t="s">
        <v>7052</v>
      </c>
      <c r="P282" s="2375"/>
      <c r="R282" s="2136"/>
      <c r="S282" s="2136"/>
      <c r="T282" s="2119"/>
    </row>
    <row r="283" spans="1:20" ht="16" customHeight="1">
      <c r="A283" s="2313"/>
      <c r="B283" s="2423"/>
      <c r="C283" s="2157"/>
      <c r="D283" s="2157"/>
      <c r="E283" s="2157"/>
      <c r="F283" s="2157"/>
      <c r="G283" s="2157"/>
      <c r="H283" s="2157"/>
      <c r="I283" s="2157"/>
      <c r="J283" s="3931" t="s">
        <v>1848</v>
      </c>
      <c r="K283" s="3931"/>
      <c r="M283" s="3931" t="s">
        <v>1848</v>
      </c>
      <c r="N283" s="3931"/>
      <c r="O283" s="3931"/>
      <c r="P283" s="3931"/>
      <c r="R283" s="2376"/>
      <c r="S283" s="2376"/>
      <c r="T283" s="2119"/>
    </row>
    <row r="284" spans="1:20" ht="16" customHeight="1">
      <c r="A284" s="2254"/>
      <c r="B284" s="2377" t="s">
        <v>1844</v>
      </c>
      <c r="C284" s="2121" t="s">
        <v>1388</v>
      </c>
      <c r="I284" s="2254"/>
      <c r="J284" s="3944"/>
      <c r="K284" s="3945"/>
      <c r="L284" s="2254"/>
      <c r="M284" s="3946"/>
      <c r="N284" s="3947"/>
      <c r="O284" s="3947"/>
      <c r="P284" s="3948"/>
      <c r="R284" s="2232"/>
    </row>
    <row r="285" spans="1:20" ht="16" customHeight="1">
      <c r="A285" s="2230"/>
      <c r="B285" s="2214" t="s">
        <v>1846</v>
      </c>
      <c r="C285" s="2121" t="s">
        <v>3155</v>
      </c>
      <c r="I285" s="2310"/>
      <c r="J285" s="3878"/>
      <c r="K285" s="3879"/>
      <c r="L285" s="2310"/>
      <c r="M285" s="3880"/>
      <c r="N285" s="3881"/>
      <c r="O285" s="3881"/>
      <c r="P285" s="3882"/>
      <c r="R285" s="2232"/>
    </row>
    <row r="286" spans="1:20" ht="16" customHeight="1">
      <c r="B286" s="2377" t="s">
        <v>2332</v>
      </c>
      <c r="C286" s="2121" t="s">
        <v>3953</v>
      </c>
      <c r="I286" s="2254"/>
      <c r="J286" s="3878"/>
      <c r="K286" s="3879"/>
      <c r="L286" s="2254"/>
      <c r="M286" s="3880"/>
      <c r="N286" s="3881"/>
      <c r="O286" s="3881"/>
      <c r="P286" s="3882"/>
      <c r="R286" s="2232"/>
    </row>
    <row r="287" spans="1:20" ht="16" customHeight="1">
      <c r="A287" s="2230"/>
      <c r="B287" s="2377" t="s">
        <v>1150</v>
      </c>
      <c r="C287" s="2121" t="s">
        <v>3071</v>
      </c>
      <c r="I287" s="2254"/>
      <c r="J287" s="3878"/>
      <c r="K287" s="3879"/>
      <c r="L287" s="2254"/>
      <c r="M287" s="3880"/>
      <c r="N287" s="3881"/>
      <c r="O287" s="3881"/>
      <c r="P287" s="3882"/>
      <c r="R287" s="2232"/>
    </row>
    <row r="288" spans="1:20" ht="16" customHeight="1">
      <c r="A288" s="2254"/>
      <c r="B288" s="2214" t="s">
        <v>1151</v>
      </c>
      <c r="C288" s="2121" t="s">
        <v>2473</v>
      </c>
      <c r="I288" s="2310"/>
      <c r="J288" s="3878"/>
      <c r="K288" s="3879"/>
      <c r="L288" s="2310"/>
      <c r="M288" s="3880"/>
      <c r="N288" s="3881"/>
      <c r="O288" s="3881"/>
      <c r="P288" s="3882"/>
      <c r="R288" s="2232"/>
    </row>
    <row r="289" spans="1:26" ht="16" customHeight="1">
      <c r="B289" s="2377" t="s">
        <v>1742</v>
      </c>
      <c r="C289" s="2121" t="s">
        <v>1387</v>
      </c>
      <c r="I289" s="2254"/>
      <c r="J289" s="3878"/>
      <c r="K289" s="3879"/>
      <c r="L289" s="2254"/>
      <c r="M289" s="3880"/>
      <c r="N289" s="3881"/>
      <c r="O289" s="3881"/>
      <c r="P289" s="3882"/>
      <c r="R289" s="2232"/>
    </row>
    <row r="290" spans="1:26" ht="16" customHeight="1">
      <c r="B290" s="2377" t="s">
        <v>473</v>
      </c>
      <c r="C290" s="2121" t="s">
        <v>6232</v>
      </c>
      <c r="I290" s="2254"/>
      <c r="J290" s="3878"/>
      <c r="K290" s="3879"/>
      <c r="L290" s="2254"/>
      <c r="M290" s="2378"/>
      <c r="N290" s="2379"/>
      <c r="O290" s="2379"/>
      <c r="P290" s="2380"/>
      <c r="R290" s="2232"/>
    </row>
    <row r="291" spans="1:26" ht="16" customHeight="1">
      <c r="A291" s="2230"/>
      <c r="B291" s="2377" t="s">
        <v>474</v>
      </c>
      <c r="C291" s="2121" t="s">
        <v>3154</v>
      </c>
      <c r="I291" s="2254"/>
      <c r="J291" s="3878"/>
      <c r="K291" s="3879"/>
      <c r="L291" s="2254"/>
      <c r="M291" s="3880"/>
      <c r="N291" s="3881"/>
      <c r="O291" s="3881"/>
      <c r="P291" s="3882"/>
      <c r="R291" s="2232"/>
    </row>
    <row r="292" spans="1:26" ht="16" customHeight="1">
      <c r="B292" s="2377" t="s">
        <v>3888</v>
      </c>
      <c r="C292" s="2121" t="s">
        <v>6863</v>
      </c>
      <c r="I292" s="2254"/>
      <c r="J292" s="3878"/>
      <c r="K292" s="3879"/>
      <c r="L292" s="2254"/>
      <c r="M292" s="3880"/>
      <c r="N292" s="3881"/>
      <c r="O292" s="3881"/>
      <c r="P292" s="3882"/>
      <c r="R292" s="2232"/>
    </row>
    <row r="293" spans="1:26" ht="16" customHeight="1">
      <c r="B293" s="2377" t="s">
        <v>6864</v>
      </c>
      <c r="C293" s="2121" t="s">
        <v>6901</v>
      </c>
      <c r="I293" s="2254"/>
      <c r="J293" s="3878"/>
      <c r="K293" s="3879"/>
      <c r="L293" s="2254"/>
      <c r="M293" s="3880"/>
      <c r="N293" s="3881"/>
      <c r="O293" s="3881"/>
      <c r="P293" s="3882"/>
      <c r="R293" s="2232"/>
    </row>
    <row r="294" spans="1:26" ht="16" customHeight="1" thickBot="1">
      <c r="B294" s="2377" t="s">
        <v>6865</v>
      </c>
      <c r="C294" s="2121" t="s">
        <v>6902</v>
      </c>
      <c r="I294" s="2254"/>
      <c r="J294" s="3878"/>
      <c r="K294" s="3879"/>
      <c r="L294" s="2254"/>
      <c r="M294" s="3906"/>
      <c r="N294" s="3907"/>
      <c r="O294" s="3907"/>
      <c r="P294" s="3908"/>
      <c r="R294" s="2232"/>
    </row>
    <row r="295" spans="1:26" ht="16" customHeight="1" thickBot="1">
      <c r="B295" s="2121"/>
      <c r="I295" s="2138" t="s">
        <v>2413</v>
      </c>
      <c r="J295" s="3909">
        <f>SUM(J284:K294)</f>
        <v>0</v>
      </c>
      <c r="K295" s="3910"/>
      <c r="M295" s="3909">
        <f>SUM($M284:$M294)</f>
        <v>0</v>
      </c>
      <c r="N295" s="3911"/>
      <c r="O295" s="3911"/>
      <c r="P295" s="3910"/>
      <c r="R295" s="2232"/>
    </row>
    <row r="296" spans="1:26" ht="16" customHeight="1">
      <c r="M296" s="2136"/>
      <c r="N296" s="2136"/>
      <c r="O296" s="2120"/>
      <c r="P296" s="2136"/>
      <c r="U296" s="3849" t="s">
        <v>6907</v>
      </c>
      <c r="V296" s="3849"/>
      <c r="W296" s="3849"/>
      <c r="X296" s="3849"/>
      <c r="Y296" s="3849"/>
      <c r="Z296" s="3849"/>
    </row>
    <row r="297" spans="1:26" ht="16" customHeight="1">
      <c r="A297" s="2121"/>
      <c r="B297" s="2332"/>
      <c r="C297" s="2227" t="s">
        <v>2412</v>
      </c>
      <c r="D297" s="2255"/>
      <c r="E297" s="2255"/>
      <c r="I297" s="2254" t="s">
        <v>6235</v>
      </c>
      <c r="J297" s="3898">
        <f>'Part V-Revenues &amp; Expenses'!$P$67</f>
        <v>47</v>
      </c>
      <c r="K297" s="3899"/>
      <c r="L297" s="2136"/>
      <c r="M297" s="2136"/>
      <c r="N297" s="2136"/>
      <c r="O297" s="2120"/>
      <c r="P297" s="2136"/>
      <c r="U297" s="2432" t="s">
        <v>6905</v>
      </c>
      <c r="V297" s="2432" t="s">
        <v>6906</v>
      </c>
      <c r="W297" s="2432" t="s">
        <v>6905</v>
      </c>
      <c r="X297" s="2432" t="s">
        <v>6906</v>
      </c>
      <c r="Y297" s="2432" t="s">
        <v>6905</v>
      </c>
      <c r="Z297" s="2432" t="s">
        <v>6906</v>
      </c>
    </row>
    <row r="298" spans="1:26" ht="16" customHeight="1">
      <c r="C298" s="2255"/>
      <c r="D298" s="2255"/>
      <c r="E298" s="2255"/>
      <c r="I298" s="2381" t="s">
        <v>6236</v>
      </c>
      <c r="J298" s="3912">
        <f>IF(J297=0,0,J295/J297)</f>
        <v>0</v>
      </c>
      <c r="K298" s="3913"/>
      <c r="M298" s="3914">
        <f>IF(J297=0,0,M295/J297)</f>
        <v>0</v>
      </c>
      <c r="N298" s="3915"/>
      <c r="O298" s="3915"/>
      <c r="P298" s="3916"/>
      <c r="S298" s="2431" t="s">
        <v>6903</v>
      </c>
      <c r="U298" s="2425">
        <v>500000</v>
      </c>
      <c r="V298" s="2426">
        <v>999999.99</v>
      </c>
      <c r="W298" s="2425">
        <v>1000000</v>
      </c>
      <c r="X298" s="2426">
        <v>1999999.99</v>
      </c>
      <c r="Y298" s="2425">
        <v>2000000</v>
      </c>
      <c r="Z298" s="2427"/>
    </row>
    <row r="299" spans="1:26" ht="16" customHeight="1">
      <c r="C299" s="2255"/>
      <c r="D299" s="2255"/>
      <c r="E299" s="2255"/>
      <c r="I299" s="2230" t="s">
        <v>6866</v>
      </c>
      <c r="J299" s="3898">
        <f>IF(J295&gt;=$Y$298,$Y$300,IF(J295&gt;=$W$298,$W$300,IF(J295&gt;=$U$298,$U$300,0)))</f>
        <v>0</v>
      </c>
      <c r="K299" s="3899"/>
      <c r="M299" s="3898">
        <f t="shared" ref="M299" si="0">IF(M295&gt;=$Y$298,$Y$300,IF(M295&gt;=$W$298,$W$300,IF(M295&gt;=$U$298,$U$300,0)))</f>
        <v>0</v>
      </c>
      <c r="N299" s="3900"/>
      <c r="O299" s="3900">
        <f t="shared" ref="O299" si="1">IF(O295&gt;=$Y$298,$Y$300,IF(O295&gt;=$W$298,$W$300,IF(O295&gt;=$U$298,$U$300,0)))</f>
        <v>0</v>
      </c>
      <c r="P299" s="3899"/>
      <c r="S299" s="2431" t="s">
        <v>6904</v>
      </c>
      <c r="U299" s="2428">
        <v>10000</v>
      </c>
      <c r="V299" s="2429">
        <v>19999.990000000002</v>
      </c>
      <c r="W299" s="2428">
        <v>20000</v>
      </c>
      <c r="X299" s="2429">
        <v>29999.99</v>
      </c>
      <c r="Y299" s="2428">
        <v>30000</v>
      </c>
      <c r="Z299" s="2430"/>
    </row>
    <row r="300" spans="1:26" ht="16" customHeight="1">
      <c r="C300" s="2255"/>
      <c r="D300" s="2255"/>
      <c r="E300" s="2255"/>
      <c r="I300" s="2230" t="s">
        <v>6237</v>
      </c>
      <c r="J300" s="3903">
        <f>IF(J298&gt;=$Y$299,$Y$300,IF(J298&gt;=$W$299,$W$300,IF(J298&gt;=$U$299,$U$300,0)))</f>
        <v>0</v>
      </c>
      <c r="K300" s="3904"/>
      <c r="L300" s="2136"/>
      <c r="M300" s="3903">
        <f>IF(M298&gt;=$Y$299,$Y$300,IF(M298&gt;=$W$299,$W$300,IF(M298&gt;=$U$299,$U$300,0)))</f>
        <v>0</v>
      </c>
      <c r="N300" s="3905"/>
      <c r="O300" s="3905"/>
      <c r="P300" s="3904"/>
      <c r="S300" s="2431" t="s">
        <v>6144</v>
      </c>
      <c r="U300" s="3859">
        <v>1</v>
      </c>
      <c r="V300" s="3860"/>
      <c r="W300" s="3859">
        <v>2</v>
      </c>
      <c r="X300" s="3860"/>
      <c r="Y300" s="3859">
        <v>3</v>
      </c>
      <c r="Z300" s="3860"/>
    </row>
    <row r="301" spans="1:26" ht="16" customHeight="1" thickBot="1"/>
    <row r="302" spans="1:26" s="2121" customFormat="1" ht="16"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5" customHeight="1">
      <c r="A303" s="2138"/>
      <c r="B303" s="2285"/>
      <c r="C303" s="3877" t="s">
        <v>6867</v>
      </c>
      <c r="D303" s="3877"/>
      <c r="E303" s="3877"/>
      <c r="F303" s="3877"/>
      <c r="G303" s="3877"/>
      <c r="H303" s="3877"/>
      <c r="I303" s="3877"/>
      <c r="J303" s="3877"/>
      <c r="K303" s="3877"/>
      <c r="L303" s="3877"/>
      <c r="M303" s="3877"/>
      <c r="N303" s="2413"/>
      <c r="O303" s="2382" t="s">
        <v>7052</v>
      </c>
      <c r="P303" s="2383"/>
      <c r="V303" s="2355"/>
    </row>
    <row r="304" spans="1:26" ht="16" customHeight="1">
      <c r="A304" s="2138"/>
      <c r="B304" s="2313"/>
      <c r="C304" s="2121" t="s">
        <v>6868</v>
      </c>
      <c r="D304" s="2121"/>
      <c r="E304" s="2121"/>
      <c r="F304" s="2121"/>
      <c r="G304" s="2121"/>
      <c r="H304" s="2121"/>
      <c r="I304" s="2121"/>
      <c r="J304" s="2121"/>
      <c r="K304" s="2121"/>
      <c r="M304" s="2121"/>
      <c r="N304" s="2144"/>
      <c r="O304" s="2269" t="s">
        <v>7052</v>
      </c>
      <c r="P304" s="2270"/>
      <c r="V304" s="2355"/>
    </row>
    <row r="305" spans="1:19" ht="16" customHeight="1">
      <c r="B305" s="2313"/>
      <c r="C305" s="2120" t="s">
        <v>6869</v>
      </c>
      <c r="N305" s="2144"/>
      <c r="O305" s="2246" t="s">
        <v>7052</v>
      </c>
      <c r="P305" s="2247"/>
    </row>
    <row r="306" spans="1:19" ht="16" customHeight="1" thickBot="1">
      <c r="B306" s="2260" t="s">
        <v>3240</v>
      </c>
    </row>
    <row r="307" spans="1:19" ht="16" customHeight="1" thickTop="1" thickBot="1">
      <c r="A307" s="3868" t="s">
        <v>7101</v>
      </c>
      <c r="B307" s="3869"/>
      <c r="C307" s="3869"/>
      <c r="D307" s="3869"/>
      <c r="E307" s="3869"/>
      <c r="F307" s="3869"/>
      <c r="G307" s="3869"/>
      <c r="H307" s="3869"/>
      <c r="I307" s="3869"/>
      <c r="J307" s="3869"/>
      <c r="K307" s="3869"/>
      <c r="L307" s="3869"/>
      <c r="M307" s="3869"/>
      <c r="N307" s="3869"/>
      <c r="O307" s="3869"/>
      <c r="P307" s="3870"/>
      <c r="Q307" s="2209"/>
    </row>
    <row r="308" spans="1:19" s="2121" customFormat="1" ht="16"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6" customHeight="1">
      <c r="A309" s="3871"/>
      <c r="B309" s="3872"/>
      <c r="C309" s="3872"/>
      <c r="D309" s="3872"/>
      <c r="E309" s="3872"/>
      <c r="F309" s="3872"/>
      <c r="G309" s="3872"/>
      <c r="H309" s="3872"/>
      <c r="I309" s="3872"/>
      <c r="J309" s="3872"/>
      <c r="K309" s="3872"/>
      <c r="L309" s="3872"/>
      <c r="M309" s="3872"/>
      <c r="N309" s="3872"/>
      <c r="O309" s="3872"/>
      <c r="P309" s="3873"/>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6"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6" customHeight="1">
      <c r="A313" s="2338"/>
      <c r="E313" s="2331" t="s">
        <v>3072</v>
      </c>
      <c r="G313" s="3874" t="s">
        <v>3885</v>
      </c>
      <c r="H313" s="3875"/>
      <c r="I313" s="3875"/>
      <c r="J313" s="3875"/>
      <c r="K313" s="3875"/>
      <c r="L313" s="3876"/>
      <c r="M313" s="2286"/>
      <c r="N313" s="2286"/>
      <c r="O313" s="2286"/>
      <c r="P313" s="2286"/>
      <c r="Q313" s="2121"/>
    </row>
    <row r="314" spans="1:19" s="2157" customFormat="1" ht="16" customHeight="1">
      <c r="A314" s="2211" t="s">
        <v>1841</v>
      </c>
      <c r="B314" s="2131" t="s">
        <v>3954</v>
      </c>
      <c r="M314" s="2286">
        <v>2</v>
      </c>
      <c r="N314" s="2310"/>
      <c r="O314" s="2308"/>
      <c r="P314" s="2384"/>
      <c r="Q314" s="2320" t="str">
        <f>IF(OR($O314=$M314,$O314=0,$O314=""),"","*CHECK!*")</f>
        <v/>
      </c>
      <c r="R314" s="2305"/>
    </row>
    <row r="315" spans="1:19" ht="16" customHeight="1">
      <c r="A315" s="2345"/>
      <c r="B315" s="3892" t="s">
        <v>3414</v>
      </c>
      <c r="C315" s="3893"/>
      <c r="D315" s="3893"/>
      <c r="E315" s="3893"/>
      <c r="F315" s="3893"/>
      <c r="G315" s="3893"/>
      <c r="H315" s="3893"/>
      <c r="I315" s="3893"/>
      <c r="J315" s="3893"/>
      <c r="K315" s="3893"/>
      <c r="L315" s="3893"/>
      <c r="M315" s="3893"/>
      <c r="N315" s="3893"/>
      <c r="O315" s="3893"/>
      <c r="P315" s="3894"/>
      <c r="Q315" s="2252"/>
      <c r="R315" s="2209"/>
      <c r="S315" s="2209"/>
    </row>
    <row r="316" spans="1:19" s="2157" customFormat="1" ht="16" customHeight="1">
      <c r="A316" s="2385" t="s">
        <v>1843</v>
      </c>
      <c r="B316" s="2289" t="s">
        <v>3955</v>
      </c>
      <c r="M316" s="2286">
        <v>2</v>
      </c>
      <c r="N316" s="2310"/>
      <c r="O316" s="2308"/>
      <c r="P316" s="2384"/>
      <c r="Q316" s="2320" t="str">
        <f>IF(OR($O316=$M316,$O316=0,$O316=""),"","*CHECK!*")</f>
        <v/>
      </c>
      <c r="R316" s="2305"/>
    </row>
    <row r="317" spans="1:19" ht="16" customHeight="1" thickBot="1">
      <c r="A317" s="2121"/>
      <c r="B317" s="2260" t="s">
        <v>3240</v>
      </c>
      <c r="C317" s="2121"/>
      <c r="D317" s="2121"/>
      <c r="E317" s="2121"/>
      <c r="F317" s="2121"/>
      <c r="G317" s="2121"/>
      <c r="H317" s="2121"/>
      <c r="I317" s="2121"/>
      <c r="J317" s="2121"/>
      <c r="K317" s="2121"/>
      <c r="M317" s="2123"/>
      <c r="O317" s="2133"/>
    </row>
    <row r="318" spans="1:19" ht="16" customHeight="1" thickTop="1" thickBot="1">
      <c r="A318" s="3868" t="s">
        <v>7102</v>
      </c>
      <c r="B318" s="3869"/>
      <c r="C318" s="3869"/>
      <c r="D318" s="3869"/>
      <c r="E318" s="3869"/>
      <c r="F318" s="3869"/>
      <c r="G318" s="3869"/>
      <c r="H318" s="3869"/>
      <c r="I318" s="3869"/>
      <c r="J318" s="3869"/>
      <c r="K318" s="3869"/>
      <c r="L318" s="3869"/>
      <c r="M318" s="3869"/>
      <c r="N318" s="3869"/>
      <c r="O318" s="3869"/>
      <c r="P318" s="3870"/>
      <c r="Q318" s="2209"/>
      <c r="R318" s="2209"/>
    </row>
    <row r="319" spans="1:19" ht="16" customHeight="1" thickTop="1">
      <c r="B319" s="2249" t="s">
        <v>1730</v>
      </c>
      <c r="C319" s="2147"/>
      <c r="D319" s="2249"/>
      <c r="E319" s="2182"/>
      <c r="F319" s="2161"/>
      <c r="G319" s="2161"/>
      <c r="H319" s="2161"/>
      <c r="I319" s="2161"/>
      <c r="J319" s="2161"/>
      <c r="K319" s="2161"/>
      <c r="L319" s="2161"/>
      <c r="M319" s="2161"/>
      <c r="N319" s="2250"/>
      <c r="O319" s="2251"/>
      <c r="P319" s="2124"/>
    </row>
    <row r="320" spans="1:19" ht="16" customHeight="1">
      <c r="A320" s="3871"/>
      <c r="B320" s="3872"/>
      <c r="C320" s="3872"/>
      <c r="D320" s="3872"/>
      <c r="E320" s="3872"/>
      <c r="F320" s="3872"/>
      <c r="G320" s="3872"/>
      <c r="H320" s="3872"/>
      <c r="I320" s="3872"/>
      <c r="J320" s="3872"/>
      <c r="K320" s="3872"/>
      <c r="L320" s="3872"/>
      <c r="M320" s="3872"/>
      <c r="N320" s="3872"/>
      <c r="O320" s="3872"/>
      <c r="P320" s="3873"/>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6"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6" hidden="1" customHeight="1">
      <c r="A324" s="2338"/>
      <c r="B324" s="2143"/>
      <c r="D324" s="2143"/>
      <c r="E324" s="2143"/>
      <c r="L324" s="2232"/>
      <c r="M324" s="2124"/>
      <c r="N324" s="2123"/>
      <c r="O324" s="2123"/>
      <c r="P324" s="2123"/>
      <c r="Q324" s="2203"/>
    </row>
    <row r="325" spans="1:18" s="2121" customFormat="1" ht="16" customHeight="1">
      <c r="A325" s="2338"/>
      <c r="B325" s="2131" t="s">
        <v>3177</v>
      </c>
      <c r="D325" s="2143"/>
      <c r="E325" s="2143"/>
      <c r="L325" s="2232"/>
      <c r="M325" s="2124"/>
      <c r="N325" s="2123"/>
      <c r="O325" s="2386">
        <v>10</v>
      </c>
      <c r="P325" s="2386">
        <v>10</v>
      </c>
      <c r="Q325" s="2203"/>
    </row>
    <row r="326" spans="1:18" s="2121" customFormat="1" ht="16" customHeight="1">
      <c r="A326" s="2124" t="s">
        <v>1841</v>
      </c>
      <c r="B326" s="2131" t="s">
        <v>6939</v>
      </c>
      <c r="D326" s="2143"/>
      <c r="E326" s="2143"/>
      <c r="L326" s="2232"/>
      <c r="M326" s="2124"/>
      <c r="N326" s="2123"/>
      <c r="O326" s="2387"/>
      <c r="P326" s="2354"/>
      <c r="Q326" s="2203"/>
    </row>
    <row r="327" spans="1:18" s="2121" customFormat="1" ht="16" customHeight="1">
      <c r="A327" s="2124" t="s">
        <v>1843</v>
      </c>
      <c r="B327" s="2131" t="s">
        <v>6940</v>
      </c>
      <c r="D327" s="2143"/>
      <c r="E327" s="2143"/>
      <c r="L327" s="2232"/>
      <c r="M327" s="2124"/>
      <c r="N327" s="2123"/>
      <c r="O327" s="2388"/>
      <c r="P327" s="2244"/>
      <c r="Q327" s="2203"/>
    </row>
    <row r="328" spans="1:18" s="2121" customFormat="1" ht="16" customHeight="1">
      <c r="A328" s="2141"/>
      <c r="B328" s="2141" t="s">
        <v>1730</v>
      </c>
      <c r="D328" s="2141"/>
      <c r="E328" s="2299"/>
      <c r="F328" s="2299"/>
      <c r="G328" s="2299"/>
      <c r="H328" s="2299"/>
      <c r="I328" s="2299"/>
      <c r="J328" s="2299"/>
      <c r="K328" s="2299"/>
      <c r="L328" s="2299"/>
      <c r="M328" s="2299"/>
      <c r="N328" s="2268"/>
      <c r="O328" s="2125"/>
      <c r="P328" s="2124"/>
    </row>
    <row r="329" spans="1:18" ht="16" customHeight="1">
      <c r="A329" s="3871"/>
      <c r="B329" s="3872"/>
      <c r="C329" s="3872"/>
      <c r="D329" s="3872"/>
      <c r="E329" s="3872"/>
      <c r="F329" s="3872"/>
      <c r="G329" s="3872"/>
      <c r="H329" s="3872"/>
      <c r="I329" s="3872"/>
      <c r="J329" s="3872"/>
      <c r="K329" s="3872"/>
      <c r="L329" s="3872"/>
      <c r="M329" s="3872"/>
      <c r="N329" s="3872"/>
      <c r="O329" s="3872"/>
      <c r="P329" s="3873"/>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6"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6" customHeight="1">
      <c r="A333" s="2124" t="s">
        <v>1841</v>
      </c>
      <c r="B333" s="2131" t="s">
        <v>6606</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6"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6"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6" customHeight="1">
      <c r="A336" s="2124" t="s">
        <v>1962</v>
      </c>
      <c r="B336" s="2131" t="s">
        <v>6608</v>
      </c>
      <c r="M336" s="2123">
        <v>2</v>
      </c>
      <c r="N336" s="2390"/>
      <c r="O336" s="2306">
        <f>O337-O338</f>
        <v>2</v>
      </c>
      <c r="P336" s="2306">
        <f>P337-P338</f>
        <v>2</v>
      </c>
      <c r="Q336" s="2320" t="str">
        <f>IF(OR($O336=$M336,$O336=0,$O336=""),"","*CHECK!*")</f>
        <v/>
      </c>
    </row>
    <row r="337" spans="1:18" s="2121" customFormat="1" ht="16" customHeight="1">
      <c r="A337" s="2338"/>
      <c r="C337" s="2131" t="s">
        <v>3177</v>
      </c>
      <c r="D337" s="2143"/>
      <c r="E337" s="2143"/>
      <c r="L337" s="2232"/>
      <c r="M337" s="2124"/>
      <c r="N337" s="2123"/>
      <c r="O337" s="2391">
        <v>2</v>
      </c>
      <c r="P337" s="2391">
        <v>2</v>
      </c>
      <c r="Q337" s="2203"/>
    </row>
    <row r="338" spans="1:18" s="2121" customFormat="1" ht="16" customHeight="1">
      <c r="A338" s="2338"/>
      <c r="C338" s="2131" t="s">
        <v>3178</v>
      </c>
      <c r="D338" s="2143"/>
      <c r="E338" s="2143"/>
      <c r="L338" s="2232"/>
      <c r="M338" s="2124"/>
      <c r="N338" s="2123"/>
      <c r="O338" s="2392"/>
      <c r="P338" s="2309"/>
      <c r="Q338" s="2203"/>
      <c r="R338" s="2305"/>
    </row>
    <row r="339" spans="1:18" ht="16" customHeight="1" thickBot="1">
      <c r="A339" s="2121"/>
      <c r="B339" s="2260" t="s">
        <v>3240</v>
      </c>
      <c r="C339" s="2121"/>
      <c r="D339" s="2121"/>
      <c r="E339" s="2121"/>
      <c r="F339" s="2121"/>
      <c r="G339" s="2121"/>
      <c r="H339" s="2121"/>
      <c r="I339" s="2121"/>
      <c r="J339" s="2121"/>
      <c r="K339" s="2121"/>
      <c r="M339" s="2123"/>
      <c r="O339" s="2133"/>
    </row>
    <row r="340" spans="1:18" ht="16" customHeight="1" thickTop="1" thickBot="1">
      <c r="A340" s="3868" t="s">
        <v>7103</v>
      </c>
      <c r="B340" s="3869"/>
      <c r="C340" s="3869"/>
      <c r="D340" s="3869"/>
      <c r="E340" s="3869"/>
      <c r="F340" s="3869"/>
      <c r="G340" s="3869"/>
      <c r="H340" s="3869"/>
      <c r="I340" s="3869"/>
      <c r="J340" s="3869"/>
      <c r="K340" s="3869"/>
      <c r="L340" s="3869"/>
      <c r="M340" s="3869"/>
      <c r="N340" s="3869"/>
      <c r="O340" s="3869"/>
      <c r="P340" s="3870"/>
      <c r="Q340" s="2209"/>
      <c r="R340" s="2209"/>
    </row>
    <row r="341" spans="1:18" ht="16" customHeight="1" thickTop="1">
      <c r="B341" s="2249" t="s">
        <v>1730</v>
      </c>
      <c r="C341" s="2147"/>
      <c r="D341" s="2249"/>
      <c r="E341" s="2182"/>
      <c r="F341" s="2161"/>
      <c r="G341" s="2161"/>
      <c r="H341" s="2161"/>
      <c r="I341" s="2161"/>
      <c r="J341" s="2161"/>
      <c r="K341" s="2161"/>
      <c r="L341" s="2161"/>
      <c r="M341" s="2161"/>
      <c r="N341" s="2250"/>
      <c r="O341" s="2251"/>
      <c r="P341" s="2124"/>
    </row>
    <row r="342" spans="1:18" ht="16" customHeight="1">
      <c r="A342" s="3871"/>
      <c r="B342" s="3872"/>
      <c r="C342" s="3872"/>
      <c r="D342" s="3872"/>
      <c r="E342" s="3872"/>
      <c r="F342" s="3872"/>
      <c r="G342" s="3872"/>
      <c r="H342" s="3872"/>
      <c r="I342" s="3872"/>
      <c r="J342" s="3872"/>
      <c r="K342" s="3872"/>
      <c r="L342" s="3872"/>
      <c r="M342" s="3872"/>
      <c r="N342" s="3872"/>
      <c r="O342" s="3872"/>
      <c r="P342" s="3873"/>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6"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6" customHeight="1" thickBot="1">
      <c r="A346" s="2121"/>
      <c r="B346" s="2260" t="s">
        <v>3240</v>
      </c>
      <c r="C346" s="2121"/>
      <c r="D346" s="2121"/>
      <c r="E346" s="2121"/>
      <c r="F346" s="2121"/>
      <c r="G346" s="2121"/>
      <c r="H346" s="2121"/>
      <c r="I346" s="2121"/>
      <c r="J346" s="2121"/>
      <c r="K346" s="2121"/>
      <c r="M346" s="2123"/>
      <c r="O346" s="2133"/>
    </row>
    <row r="347" spans="1:18" ht="16" customHeight="1" thickTop="1" thickBot="1">
      <c r="A347" s="3868" t="s">
        <v>7104</v>
      </c>
      <c r="B347" s="3869"/>
      <c r="C347" s="3869"/>
      <c r="D347" s="3869"/>
      <c r="E347" s="3869"/>
      <c r="F347" s="3869"/>
      <c r="G347" s="3869"/>
      <c r="H347" s="3869"/>
      <c r="I347" s="3869"/>
      <c r="J347" s="3869"/>
      <c r="K347" s="3869"/>
      <c r="L347" s="3869"/>
      <c r="M347" s="3869"/>
      <c r="N347" s="3869"/>
      <c r="O347" s="3869"/>
      <c r="P347" s="3870"/>
      <c r="Q347" s="2209"/>
      <c r="R347" s="2209"/>
    </row>
    <row r="348" spans="1:18" s="2121" customFormat="1" ht="16" customHeight="1" thickTop="1">
      <c r="A348" s="2141"/>
      <c r="B348" s="2141" t="s">
        <v>1730</v>
      </c>
      <c r="D348" s="2141"/>
      <c r="E348" s="2299"/>
      <c r="F348" s="2299"/>
      <c r="G348" s="2299"/>
      <c r="H348" s="2299"/>
      <c r="I348" s="2299"/>
      <c r="J348" s="2299"/>
      <c r="K348" s="2299"/>
      <c r="L348" s="2299"/>
      <c r="M348" s="2299"/>
      <c r="N348" s="2268"/>
      <c r="O348" s="2125"/>
      <c r="P348" s="2124"/>
    </row>
    <row r="349" spans="1:18" ht="16" customHeight="1">
      <c r="A349" s="3871"/>
      <c r="B349" s="3872"/>
      <c r="C349" s="3872"/>
      <c r="D349" s="3872"/>
      <c r="E349" s="3872"/>
      <c r="F349" s="3872"/>
      <c r="G349" s="3872"/>
      <c r="H349" s="3872"/>
      <c r="I349" s="3872"/>
      <c r="J349" s="3872"/>
      <c r="K349" s="3872"/>
      <c r="L349" s="3872"/>
      <c r="M349" s="3872"/>
      <c r="N349" s="3872"/>
      <c r="O349" s="3872"/>
      <c r="P349" s="3873"/>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6" customHeight="1">
      <c r="A352" s="2338" t="s">
        <v>3380</v>
      </c>
      <c r="B352" s="2143" t="s">
        <v>6915</v>
      </c>
      <c r="D352" s="2143"/>
      <c r="E352" s="2143"/>
      <c r="F352" s="2136"/>
      <c r="L352" s="2320" t="str">
        <f>IF(OR($O352=$M352,$O352=0,$O352=""),"","*CHECK!*")</f>
        <v/>
      </c>
      <c r="M352" s="2124">
        <v>6</v>
      </c>
      <c r="N352" s="2123"/>
      <c r="O352" s="2123"/>
      <c r="P352" s="2393"/>
      <c r="Q352" s="2203" t="s">
        <v>416</v>
      </c>
      <c r="R352" s="2305"/>
    </row>
    <row r="353" spans="1:18" s="2121" customFormat="1" ht="16" customHeight="1">
      <c r="A353" s="2338"/>
      <c r="B353" s="2121" t="s">
        <v>6870</v>
      </c>
      <c r="D353" s="2143"/>
      <c r="E353" s="2143"/>
      <c r="F353" s="2136"/>
      <c r="L353" s="2320"/>
      <c r="M353" s="2124"/>
      <c r="N353" s="2123"/>
      <c r="O353" s="2324" t="s">
        <v>7052</v>
      </c>
      <c r="P353" s="2369"/>
      <c r="Q353" s="2203"/>
      <c r="R353" s="2305"/>
    </row>
    <row r="354" spans="1:18" s="2121" customFormat="1" ht="16" customHeight="1">
      <c r="A354" s="2141"/>
      <c r="B354" s="2141" t="s">
        <v>1730</v>
      </c>
      <c r="D354" s="2141"/>
      <c r="E354" s="2299"/>
      <c r="F354" s="2299"/>
      <c r="G354" s="2299"/>
      <c r="H354" s="2299"/>
      <c r="I354" s="2299"/>
      <c r="J354" s="2299"/>
      <c r="K354" s="2299"/>
      <c r="L354" s="2299"/>
      <c r="M354" s="2299"/>
      <c r="N354" s="2268"/>
      <c r="O354" s="2125"/>
      <c r="P354" s="2124"/>
    </row>
    <row r="355" spans="1:18" ht="16" customHeight="1">
      <c r="A355" s="3871"/>
      <c r="B355" s="3872"/>
      <c r="C355" s="3872"/>
      <c r="D355" s="3872"/>
      <c r="E355" s="3872"/>
      <c r="F355" s="3872"/>
      <c r="G355" s="3872"/>
      <c r="H355" s="3872"/>
      <c r="I355" s="3872"/>
      <c r="J355" s="3872"/>
      <c r="K355" s="3872"/>
      <c r="L355" s="3872"/>
      <c r="M355" s="3872"/>
      <c r="N355" s="3872"/>
      <c r="O355" s="3872"/>
      <c r="P355" s="3873"/>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6"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6" customHeight="1" thickBot="1">
      <c r="A359" s="2121"/>
      <c r="B359" s="2260" t="s">
        <v>3240</v>
      </c>
      <c r="C359" s="2121"/>
      <c r="D359" s="2121"/>
      <c r="E359" s="2121"/>
      <c r="F359" s="2121"/>
      <c r="G359" s="2121"/>
      <c r="H359" s="2121"/>
      <c r="I359" s="2121"/>
      <c r="J359" s="2121"/>
      <c r="K359" s="2121"/>
      <c r="M359" s="2123"/>
      <c r="O359" s="2133"/>
    </row>
    <row r="360" spans="1:18" ht="16" customHeight="1" thickTop="1" thickBot="1">
      <c r="A360" s="3868" t="s">
        <v>7105</v>
      </c>
      <c r="B360" s="3869"/>
      <c r="C360" s="3869"/>
      <c r="D360" s="3869"/>
      <c r="E360" s="3869"/>
      <c r="F360" s="3869"/>
      <c r="G360" s="3869"/>
      <c r="H360" s="3869"/>
      <c r="I360" s="3869"/>
      <c r="J360" s="3869"/>
      <c r="K360" s="3869"/>
      <c r="L360" s="3869"/>
      <c r="M360" s="3869"/>
      <c r="N360" s="3869"/>
      <c r="O360" s="3869"/>
      <c r="P360" s="3870"/>
      <c r="Q360" s="2209"/>
      <c r="R360" s="2209"/>
    </row>
    <row r="361" spans="1:18" s="2121" customFormat="1" ht="16" customHeight="1" thickTop="1">
      <c r="A361" s="2141"/>
      <c r="B361" s="2141" t="s">
        <v>1730</v>
      </c>
      <c r="D361" s="2141"/>
      <c r="E361" s="2299"/>
      <c r="F361" s="2299"/>
      <c r="G361" s="2299"/>
      <c r="H361" s="2299"/>
      <c r="I361" s="2299"/>
      <c r="J361" s="2299"/>
      <c r="K361" s="2299"/>
      <c r="L361" s="2299"/>
      <c r="M361" s="2299"/>
      <c r="N361" s="2268"/>
      <c r="O361" s="2125"/>
      <c r="P361" s="2124"/>
    </row>
    <row r="362" spans="1:18" ht="16" customHeight="1">
      <c r="A362" s="3871"/>
      <c r="B362" s="3872"/>
      <c r="C362" s="3872"/>
      <c r="D362" s="3872"/>
      <c r="E362" s="3872"/>
      <c r="F362" s="3872"/>
      <c r="G362" s="3872"/>
      <c r="H362" s="3872"/>
      <c r="I362" s="3872"/>
      <c r="J362" s="3872"/>
      <c r="K362" s="3872"/>
      <c r="L362" s="3872"/>
      <c r="M362" s="3872"/>
      <c r="N362" s="3872"/>
      <c r="O362" s="3872"/>
      <c r="P362" s="3873"/>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6"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6"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6"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6" customHeight="1" thickBot="1">
      <c r="A368" s="2121"/>
      <c r="B368" s="2260" t="s">
        <v>3240</v>
      </c>
      <c r="C368" s="2121"/>
      <c r="D368" s="2121"/>
      <c r="E368" s="2121"/>
      <c r="F368" s="2121"/>
      <c r="G368" s="2121"/>
      <c r="H368" s="2121"/>
      <c r="I368" s="2121"/>
      <c r="J368" s="2121"/>
      <c r="K368" s="2121"/>
      <c r="M368" s="2123"/>
      <c r="O368" s="2133"/>
    </row>
    <row r="369" spans="1:18" ht="16" customHeight="1" thickTop="1" thickBot="1">
      <c r="A369" s="3868" t="s">
        <v>7106</v>
      </c>
      <c r="B369" s="3869"/>
      <c r="C369" s="3869"/>
      <c r="D369" s="3869"/>
      <c r="E369" s="3869"/>
      <c r="F369" s="3869"/>
      <c r="G369" s="3869"/>
      <c r="H369" s="3869"/>
      <c r="I369" s="3869"/>
      <c r="J369" s="3869"/>
      <c r="K369" s="3869"/>
      <c r="L369" s="3869"/>
      <c r="M369" s="3869"/>
      <c r="N369" s="3869"/>
      <c r="O369" s="3869"/>
      <c r="P369" s="3870"/>
      <c r="Q369" s="2209"/>
      <c r="R369" s="2209"/>
    </row>
    <row r="370" spans="1:18" s="2121" customFormat="1" ht="16" customHeight="1" thickTop="1">
      <c r="A370" s="2141"/>
      <c r="B370" s="2141" t="s">
        <v>1730</v>
      </c>
      <c r="D370" s="2141"/>
      <c r="E370" s="2299"/>
      <c r="F370" s="2299"/>
      <c r="G370" s="2299"/>
      <c r="H370" s="2299"/>
      <c r="I370" s="2299"/>
      <c r="J370" s="2299"/>
      <c r="K370" s="2299"/>
      <c r="L370" s="2299"/>
      <c r="M370" s="2299"/>
      <c r="N370" s="2268"/>
      <c r="O370" s="2125"/>
      <c r="P370" s="2124"/>
    </row>
    <row r="371" spans="1:18" ht="16" customHeight="1">
      <c r="A371" s="3871"/>
      <c r="B371" s="3872"/>
      <c r="C371" s="3872"/>
      <c r="D371" s="3872"/>
      <c r="E371" s="3872"/>
      <c r="F371" s="3872"/>
      <c r="G371" s="3872"/>
      <c r="H371" s="3872"/>
      <c r="I371" s="3872"/>
      <c r="J371" s="3872"/>
      <c r="K371" s="3872"/>
      <c r="L371" s="3872"/>
      <c r="M371" s="3872"/>
      <c r="N371" s="3872"/>
      <c r="O371" s="3872"/>
      <c r="P371" s="3873"/>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6"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6" customHeight="1">
      <c r="A375" s="2124" t="s">
        <v>1841</v>
      </c>
      <c r="B375" s="2131" t="s">
        <v>6918</v>
      </c>
      <c r="F375" s="2121"/>
      <c r="G375" s="2121"/>
      <c r="H375" s="2121"/>
      <c r="K375" s="2123"/>
      <c r="L375" s="2230"/>
      <c r="M375" s="2123">
        <v>10</v>
      </c>
      <c r="N375" s="2390"/>
      <c r="O375" s="2449"/>
      <c r="P375" s="2450"/>
      <c r="Q375" s="2320" t="str">
        <f>IF(OR($O375&lt;=$M375,$O375=0,$O375=""),"","*CHECK!*")</f>
        <v/>
      </c>
      <c r="R375" s="2305"/>
    </row>
    <row r="376" spans="1:18" ht="16" customHeight="1">
      <c r="A376" s="2124"/>
      <c r="B376" s="2120" t="s">
        <v>1133</v>
      </c>
      <c r="D376" s="2120" t="s">
        <v>6930</v>
      </c>
      <c r="E376" s="2121"/>
      <c r="F376" s="2121"/>
      <c r="G376" s="2121" t="s">
        <v>6222</v>
      </c>
      <c r="H376" s="2121"/>
      <c r="I376" s="2121"/>
      <c r="J376" s="2121" t="s">
        <v>575</v>
      </c>
      <c r="L376" s="2139" t="s">
        <v>6931</v>
      </c>
      <c r="M376" s="3849" t="s">
        <v>6941</v>
      </c>
      <c r="N376" s="3849"/>
      <c r="O376" s="3849"/>
      <c r="P376" s="3849"/>
      <c r="Q376" s="2320"/>
    </row>
    <row r="377" spans="1:18" ht="16" customHeight="1">
      <c r="A377" s="2121">
        <v>1</v>
      </c>
      <c r="B377" s="3917"/>
      <c r="C377" s="3917"/>
      <c r="D377" s="3917"/>
      <c r="E377" s="3917"/>
      <c r="F377" s="3917"/>
      <c r="G377" s="3917"/>
      <c r="H377" s="3917"/>
      <c r="I377" s="3917"/>
      <c r="J377" s="3917"/>
      <c r="K377" s="3917"/>
      <c r="L377" s="2451"/>
      <c r="M377" s="3846"/>
      <c r="N377" s="3847"/>
      <c r="O377" s="3847"/>
      <c r="P377" s="3848"/>
      <c r="Q377" s="2320"/>
    </row>
    <row r="378" spans="1:18" ht="16" customHeight="1">
      <c r="A378" s="2121">
        <v>2</v>
      </c>
      <c r="B378" s="3883"/>
      <c r="C378" s="3883"/>
      <c r="D378" s="3883"/>
      <c r="E378" s="3883"/>
      <c r="F378" s="3883"/>
      <c r="G378" s="3883"/>
      <c r="H378" s="3883"/>
      <c r="I378" s="3883"/>
      <c r="J378" s="3883"/>
      <c r="K378" s="3883"/>
      <c r="L378" s="2452"/>
      <c r="M378" s="3850"/>
      <c r="N378" s="3851"/>
      <c r="O378" s="3851"/>
      <c r="P378" s="3852"/>
      <c r="Q378" s="2320"/>
    </row>
    <row r="379" spans="1:18" ht="16" customHeight="1">
      <c r="A379" s="2121">
        <v>3</v>
      </c>
      <c r="B379" s="3883"/>
      <c r="C379" s="3883"/>
      <c r="D379" s="3883"/>
      <c r="E379" s="3883"/>
      <c r="F379" s="3883"/>
      <c r="G379" s="3883"/>
      <c r="H379" s="3883"/>
      <c r="I379" s="3883"/>
      <c r="J379" s="3883"/>
      <c r="K379" s="3883"/>
      <c r="L379" s="2452"/>
      <c r="M379" s="3850"/>
      <c r="N379" s="3851"/>
      <c r="O379" s="3851"/>
      <c r="P379" s="3852"/>
      <c r="Q379" s="2320"/>
    </row>
    <row r="380" spans="1:18" ht="16" customHeight="1">
      <c r="A380" s="2121">
        <v>4</v>
      </c>
      <c r="B380" s="3883"/>
      <c r="C380" s="3883"/>
      <c r="D380" s="3883"/>
      <c r="E380" s="3883"/>
      <c r="F380" s="3883"/>
      <c r="G380" s="3883"/>
      <c r="H380" s="3883"/>
      <c r="I380" s="3883"/>
      <c r="J380" s="3883"/>
      <c r="K380" s="3883"/>
      <c r="L380" s="2452"/>
      <c r="M380" s="3850"/>
      <c r="N380" s="3851"/>
      <c r="O380" s="3851"/>
      <c r="P380" s="3852"/>
      <c r="Q380" s="2320"/>
    </row>
    <row r="381" spans="1:18" ht="16" customHeight="1">
      <c r="A381" s="2121">
        <v>5</v>
      </c>
      <c r="B381" s="3883"/>
      <c r="C381" s="3883"/>
      <c r="D381" s="3883"/>
      <c r="E381" s="3883"/>
      <c r="F381" s="3883"/>
      <c r="G381" s="3883"/>
      <c r="H381" s="3883"/>
      <c r="I381" s="3883"/>
      <c r="J381" s="3883"/>
      <c r="K381" s="3883"/>
      <c r="L381" s="2452"/>
      <c r="M381" s="3850"/>
      <c r="N381" s="3851"/>
      <c r="O381" s="3851"/>
      <c r="P381" s="3852"/>
      <c r="Q381" s="2320"/>
    </row>
    <row r="382" spans="1:18" ht="16" customHeight="1">
      <c r="A382" s="2121">
        <v>6</v>
      </c>
      <c r="B382" s="3883"/>
      <c r="C382" s="3883"/>
      <c r="D382" s="3883"/>
      <c r="E382" s="3883"/>
      <c r="F382" s="3883"/>
      <c r="G382" s="3883"/>
      <c r="H382" s="3883"/>
      <c r="I382" s="3883"/>
      <c r="J382" s="3883"/>
      <c r="K382" s="3883"/>
      <c r="L382" s="2452"/>
      <c r="M382" s="3850"/>
      <c r="N382" s="3851"/>
      <c r="O382" s="3851"/>
      <c r="P382" s="3852"/>
      <c r="Q382" s="2320"/>
    </row>
    <row r="383" spans="1:18" ht="16" customHeight="1">
      <c r="A383" s="2121">
        <v>7</v>
      </c>
      <c r="B383" s="3883"/>
      <c r="C383" s="3883"/>
      <c r="D383" s="3883"/>
      <c r="E383" s="3883"/>
      <c r="F383" s="3883"/>
      <c r="G383" s="3883"/>
      <c r="H383" s="3883"/>
      <c r="I383" s="3883"/>
      <c r="J383" s="3883"/>
      <c r="K383" s="3883"/>
      <c r="L383" s="2452"/>
      <c r="M383" s="3850"/>
      <c r="N383" s="3851"/>
      <c r="O383" s="3851"/>
      <c r="P383" s="3852"/>
      <c r="Q383" s="2320"/>
    </row>
    <row r="384" spans="1:18" ht="16" customHeight="1">
      <c r="A384" s="2121">
        <v>8</v>
      </c>
      <c r="B384" s="3883"/>
      <c r="C384" s="3883"/>
      <c r="D384" s="3883"/>
      <c r="E384" s="3883"/>
      <c r="F384" s="3883"/>
      <c r="G384" s="3883"/>
      <c r="H384" s="3883"/>
      <c r="I384" s="3883"/>
      <c r="J384" s="3883"/>
      <c r="K384" s="3883"/>
      <c r="L384" s="2452"/>
      <c r="M384" s="3850"/>
      <c r="N384" s="3851"/>
      <c r="O384" s="3851"/>
      <c r="P384" s="3852"/>
      <c r="Q384" s="2320"/>
    </row>
    <row r="385" spans="1:19">
      <c r="A385" s="2120">
        <v>9</v>
      </c>
      <c r="B385" s="3883"/>
      <c r="C385" s="3883"/>
      <c r="D385" s="3883"/>
      <c r="E385" s="3883"/>
      <c r="F385" s="3883"/>
      <c r="G385" s="3883"/>
      <c r="H385" s="3883"/>
      <c r="I385" s="3883"/>
      <c r="J385" s="3883"/>
      <c r="K385" s="3883"/>
      <c r="L385" s="2452"/>
      <c r="M385" s="3850"/>
      <c r="N385" s="3851"/>
      <c r="O385" s="3851"/>
      <c r="P385" s="3852"/>
    </row>
    <row r="386" spans="1:19" ht="16" customHeight="1">
      <c r="A386" s="2121">
        <v>10</v>
      </c>
      <c r="B386" s="4102"/>
      <c r="C386" s="4102"/>
      <c r="D386" s="4102"/>
      <c r="E386" s="4102"/>
      <c r="F386" s="4102"/>
      <c r="G386" s="4102"/>
      <c r="H386" s="4102"/>
      <c r="I386" s="4102"/>
      <c r="J386" s="4102"/>
      <c r="K386" s="4102"/>
      <c r="L386" s="2453"/>
      <c r="M386" s="3895"/>
      <c r="N386" s="3896"/>
      <c r="O386" s="3896"/>
      <c r="P386" s="3897"/>
      <c r="Q386" s="2320"/>
    </row>
    <row r="387" spans="1:19" s="2157" customFormat="1" ht="16" customHeight="1">
      <c r="A387" s="2351" t="s">
        <v>1843</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6" customHeight="1" thickBot="1">
      <c r="A388" s="2121"/>
      <c r="B388" s="2260" t="s">
        <v>3240</v>
      </c>
      <c r="C388" s="2121"/>
      <c r="D388" s="2121"/>
      <c r="E388" s="2121"/>
      <c r="F388" s="2121"/>
      <c r="G388" s="2121"/>
      <c r="H388" s="2121"/>
      <c r="I388" s="2121"/>
      <c r="J388" s="2121"/>
      <c r="K388" s="2121"/>
      <c r="M388" s="2123"/>
      <c r="O388" s="2133"/>
    </row>
    <row r="389" spans="1:19" ht="16" customHeight="1" thickTop="1" thickBot="1">
      <c r="A389" s="3868" t="s">
        <v>7107</v>
      </c>
      <c r="B389" s="3869"/>
      <c r="C389" s="3869"/>
      <c r="D389" s="3869"/>
      <c r="E389" s="3869"/>
      <c r="F389" s="3869"/>
      <c r="G389" s="3869"/>
      <c r="H389" s="3869"/>
      <c r="I389" s="3869"/>
      <c r="J389" s="3869"/>
      <c r="K389" s="3869"/>
      <c r="L389" s="3869"/>
      <c r="M389" s="3869"/>
      <c r="N389" s="3869"/>
      <c r="O389" s="3869"/>
      <c r="P389" s="3870"/>
      <c r="Q389" s="2209"/>
      <c r="R389" s="2209"/>
    </row>
    <row r="390" spans="1:19" s="2121" customFormat="1" ht="16" customHeight="1" thickTop="1">
      <c r="A390" s="2141"/>
      <c r="B390" s="2141" t="s">
        <v>1730</v>
      </c>
      <c r="D390" s="2141"/>
      <c r="E390" s="2299"/>
      <c r="F390" s="2299"/>
      <c r="G390" s="2299"/>
      <c r="H390" s="2299"/>
      <c r="I390" s="2299"/>
      <c r="J390" s="2299"/>
      <c r="K390" s="2299"/>
      <c r="L390" s="2299"/>
      <c r="M390" s="2299"/>
      <c r="N390" s="2268"/>
      <c r="O390" s="2125"/>
      <c r="P390" s="2124"/>
    </row>
    <row r="391" spans="1:19" ht="16" customHeight="1">
      <c r="A391" s="3871"/>
      <c r="B391" s="3872"/>
      <c r="C391" s="3872"/>
      <c r="D391" s="3872"/>
      <c r="E391" s="3872"/>
      <c r="F391" s="3872"/>
      <c r="G391" s="3872"/>
      <c r="H391" s="3872"/>
      <c r="I391" s="3872"/>
      <c r="J391" s="3872"/>
      <c r="K391" s="3872"/>
      <c r="L391" s="3872"/>
      <c r="M391" s="3872"/>
      <c r="N391" s="3872"/>
      <c r="O391" s="3872"/>
      <c r="P391" s="3873"/>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6"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6" customHeight="1">
      <c r="A395" s="2211" t="s">
        <v>1841</v>
      </c>
      <c r="B395" s="2131" t="s">
        <v>6923</v>
      </c>
      <c r="Q395" s="2320" t="str">
        <f>IF(OR($O395=$M395,$O395=0,$O395=""),"","*CHECK!*")</f>
        <v/>
      </c>
      <c r="R395" s="2305"/>
    </row>
    <row r="396" spans="1:19" ht="147" customHeight="1">
      <c r="A396" s="2345"/>
      <c r="B396" s="3892" t="s">
        <v>7109</v>
      </c>
      <c r="C396" s="3893"/>
      <c r="D396" s="3893"/>
      <c r="E396" s="3893"/>
      <c r="F396" s="3893"/>
      <c r="G396" s="3893"/>
      <c r="H396" s="3893"/>
      <c r="I396" s="3893"/>
      <c r="J396" s="3893"/>
      <c r="K396" s="3893"/>
      <c r="L396" s="3893"/>
      <c r="M396" s="3893"/>
      <c r="N396" s="3893"/>
      <c r="O396" s="3893"/>
      <c r="P396" s="3894"/>
      <c r="Q396" s="2252"/>
      <c r="R396" s="2209"/>
      <c r="S396" s="2209"/>
    </row>
    <row r="397" spans="1:19" s="2157" customFormat="1" ht="16" customHeight="1">
      <c r="A397" s="2385" t="s">
        <v>1843</v>
      </c>
      <c r="B397" s="2289" t="s">
        <v>6924</v>
      </c>
      <c r="Q397" s="2320" t="str">
        <f>IF(OR($O397=$M397,$O397=0,$O397=""),"","*CHECK!*")</f>
        <v/>
      </c>
      <c r="R397" s="2305"/>
    </row>
    <row r="398" spans="1:19" ht="147" customHeight="1">
      <c r="A398" s="2345"/>
      <c r="B398" s="3892" t="s">
        <v>7109</v>
      </c>
      <c r="C398" s="3893"/>
      <c r="D398" s="3893"/>
      <c r="E398" s="3893"/>
      <c r="F398" s="3893"/>
      <c r="G398" s="3893"/>
      <c r="H398" s="3893"/>
      <c r="I398" s="3893"/>
      <c r="J398" s="3893"/>
      <c r="K398" s="3893"/>
      <c r="L398" s="3893"/>
      <c r="M398" s="3893"/>
      <c r="N398" s="3893"/>
      <c r="O398" s="3893"/>
      <c r="P398" s="3894"/>
      <c r="Q398" s="2252"/>
      <c r="R398" s="2209"/>
      <c r="S398" s="2209"/>
    </row>
    <row r="399" spans="1:19" ht="16" customHeight="1" thickBot="1">
      <c r="A399" s="2121"/>
      <c r="B399" s="2260" t="s">
        <v>3240</v>
      </c>
      <c r="C399" s="2121"/>
      <c r="D399" s="2121"/>
      <c r="E399" s="2121"/>
      <c r="F399" s="2121"/>
      <c r="G399" s="2121"/>
      <c r="H399" s="2121"/>
      <c r="I399" s="2121"/>
      <c r="J399" s="2121"/>
      <c r="K399" s="2121"/>
      <c r="M399" s="2123"/>
      <c r="O399" s="2133"/>
    </row>
    <row r="400" spans="1:19" ht="39" customHeight="1" thickTop="1" thickBot="1">
      <c r="A400" s="3868" t="s">
        <v>7110</v>
      </c>
      <c r="B400" s="3869"/>
      <c r="C400" s="3869"/>
      <c r="D400" s="3869"/>
      <c r="E400" s="3869"/>
      <c r="F400" s="3869"/>
      <c r="G400" s="3869"/>
      <c r="H400" s="3869"/>
      <c r="I400" s="3869"/>
      <c r="J400" s="3869"/>
      <c r="K400" s="3869"/>
      <c r="L400" s="3869"/>
      <c r="M400" s="3869"/>
      <c r="N400" s="3869"/>
      <c r="O400" s="3869"/>
      <c r="P400" s="3870"/>
      <c r="Q400" s="2209"/>
      <c r="R400" s="2209"/>
    </row>
    <row r="401" spans="1:66" ht="16" customHeight="1" thickTop="1">
      <c r="B401" s="2249" t="s">
        <v>1730</v>
      </c>
      <c r="C401" s="2147"/>
      <c r="D401" s="2249"/>
      <c r="E401" s="2182"/>
      <c r="F401" s="2161"/>
      <c r="G401" s="2161"/>
      <c r="H401" s="2161"/>
      <c r="I401" s="2161"/>
      <c r="J401" s="2161"/>
      <c r="K401" s="2161"/>
      <c r="L401" s="2161"/>
      <c r="M401" s="2161"/>
      <c r="N401" s="2250"/>
      <c r="O401" s="2251"/>
      <c r="P401" s="2124"/>
    </row>
    <row r="402" spans="1:66" ht="16" customHeight="1">
      <c r="A402" s="3871"/>
      <c r="B402" s="3872"/>
      <c r="C402" s="3872"/>
      <c r="D402" s="3872"/>
      <c r="E402" s="3872"/>
      <c r="F402" s="3872"/>
      <c r="G402" s="3872"/>
      <c r="H402" s="3872"/>
      <c r="I402" s="3872"/>
      <c r="J402" s="3872"/>
      <c r="K402" s="3872"/>
      <c r="L402" s="3872"/>
      <c r="M402" s="3872"/>
      <c r="N402" s="3872"/>
      <c r="O402" s="3872"/>
      <c r="P402" s="3873"/>
      <c r="Q402" s="2252"/>
    </row>
    <row r="403" spans="1:66" ht="16" customHeight="1" thickBot="1">
      <c r="Q403" s="3901" t="s">
        <v>6947</v>
      </c>
      <c r="R403" s="3901"/>
      <c r="S403" s="3901"/>
      <c r="T403" s="3901"/>
      <c r="U403" s="3901"/>
      <c r="V403" s="3901"/>
      <c r="W403" s="3901"/>
      <c r="X403" s="3901"/>
      <c r="Y403" s="3901"/>
      <c r="Z403" s="3901"/>
      <c r="AA403" s="3901"/>
    </row>
    <row r="404" spans="1:66" s="2121" customFormat="1" ht="16"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69.5</v>
      </c>
      <c r="P404" s="2135">
        <f>IF(AND($O$36="4%",($D$36-$A$36)&gt;0),((-P10+P40+P66+P77+P86+P106+P122+P142+P152+P171+P179+P189+P200+P210+P223+P233+P253+P262+P271+P280+P312+P323+P332+P345+P352+P358+P365+P374)-($D$36-$A$36)),-P10+P40+P66+P77+P86+P106+P122+P142+P152+P171+P179+P189+P200+P210+P223+P233+P253+P262+P271+P280+P312+P323+P332+P345+P352+P358+P365+P374)</f>
        <v>22</v>
      </c>
      <c r="Q404" s="3901"/>
      <c r="R404" s="3901"/>
      <c r="S404" s="3901"/>
      <c r="T404" s="3901"/>
      <c r="U404" s="3901"/>
      <c r="V404" s="3901"/>
      <c r="W404" s="3901"/>
      <c r="X404" s="3901"/>
      <c r="Y404" s="3901"/>
      <c r="Z404" s="3901"/>
      <c r="AA404" s="3901"/>
    </row>
    <row r="405" spans="1:66" ht="7.5" customHeight="1" thickTop="1">
      <c r="A405" s="2121"/>
      <c r="C405" s="2161"/>
      <c r="D405" s="2161"/>
      <c r="E405" s="2161"/>
      <c r="F405" s="2161"/>
      <c r="G405" s="2161"/>
      <c r="H405" s="2161"/>
      <c r="I405" s="2161"/>
      <c r="J405" s="2161"/>
      <c r="K405" s="2161"/>
      <c r="L405" s="2161"/>
      <c r="M405" s="2161"/>
      <c r="N405" s="2161"/>
      <c r="O405" s="2161"/>
      <c r="P405" s="2161"/>
      <c r="Q405" s="3901"/>
      <c r="R405" s="3901"/>
      <c r="S405" s="3901"/>
      <c r="T405" s="3901"/>
      <c r="U405" s="3901"/>
      <c r="V405" s="3901"/>
      <c r="W405" s="3901"/>
      <c r="X405" s="3901"/>
      <c r="Y405" s="3901"/>
      <c r="Z405" s="3901"/>
      <c r="AA405" s="3901"/>
    </row>
    <row r="406" spans="1:66" ht="7.5" customHeight="1">
      <c r="F406" s="2226"/>
      <c r="G406" s="2226"/>
      <c r="H406" s="2124"/>
      <c r="I406" s="2124"/>
      <c r="N406" s="2124"/>
      <c r="O406" s="2124"/>
      <c r="P406" s="2133"/>
      <c r="Q406" s="3901"/>
      <c r="R406" s="3901"/>
      <c r="S406" s="3901"/>
      <c r="T406" s="3901"/>
      <c r="U406" s="3901"/>
      <c r="V406" s="3901"/>
      <c r="W406" s="3901"/>
      <c r="X406" s="3901"/>
      <c r="Y406" s="3901"/>
      <c r="Z406" s="3901"/>
      <c r="AA406" s="3901"/>
    </row>
    <row r="407" spans="1:66" ht="45.5" customHeight="1">
      <c r="A407" s="3902" t="s">
        <v>6871</v>
      </c>
      <c r="B407" s="3902"/>
      <c r="C407" s="3902"/>
      <c r="D407" s="3902"/>
      <c r="E407" s="3902"/>
      <c r="F407" s="3902"/>
      <c r="G407" s="3902"/>
      <c r="H407" s="3902"/>
      <c r="I407" s="3902"/>
      <c r="J407" s="3902"/>
      <c r="K407" s="3902"/>
      <c r="L407" s="3902"/>
      <c r="M407" s="3902"/>
      <c r="N407" s="3902"/>
      <c r="O407" s="3902"/>
      <c r="P407" s="3902"/>
      <c r="Q407" s="3901"/>
      <c r="R407" s="3901"/>
      <c r="S407" s="3901"/>
      <c r="T407" s="3901"/>
      <c r="U407" s="3901"/>
      <c r="V407" s="3901"/>
      <c r="W407" s="3901"/>
      <c r="X407" s="3901"/>
      <c r="Y407" s="3901"/>
      <c r="Z407" s="3901"/>
      <c r="AA407" s="3901"/>
    </row>
    <row r="408" spans="1:66" ht="409.25" customHeight="1">
      <c r="A408" s="3892" t="s">
        <v>7125</v>
      </c>
      <c r="B408" s="3893"/>
      <c r="C408" s="3893"/>
      <c r="D408" s="3893"/>
      <c r="E408" s="3893"/>
      <c r="F408" s="3893"/>
      <c r="G408" s="3893"/>
      <c r="H408" s="3893"/>
      <c r="I408" s="3893"/>
      <c r="J408" s="3893"/>
      <c r="K408" s="3893"/>
      <c r="L408" s="3893"/>
      <c r="M408" s="3893"/>
      <c r="N408" s="3893"/>
      <c r="O408" s="3893"/>
      <c r="P408" s="3894"/>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1" t="s">
        <v>6562</v>
      </c>
      <c r="BC415" s="3891"/>
      <c r="BD415" s="3891"/>
      <c r="BE415" s="3891"/>
      <c r="BF415" s="3891"/>
      <c r="BG415" s="3891"/>
      <c r="BH415" s="3891"/>
      <c r="BI415" s="3891"/>
      <c r="BJ415" s="2199"/>
      <c r="BK415" s="2199"/>
      <c r="BL415" s="2199"/>
      <c r="BM415" s="2397"/>
      <c r="BN415" s="2397"/>
    </row>
    <row r="416" spans="1:66" ht="1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7" t="s">
        <v>6563</v>
      </c>
      <c r="AZ416" s="3888"/>
      <c r="BA416" s="3888"/>
      <c r="BB416" s="3888"/>
      <c r="BC416" s="3888"/>
      <c r="BD416" s="3888"/>
      <c r="BE416" s="3889"/>
      <c r="BF416" s="3887" t="s">
        <v>6564</v>
      </c>
      <c r="BG416" s="3888"/>
      <c r="BH416" s="3888"/>
      <c r="BI416" s="3888"/>
      <c r="BJ416" s="3888"/>
      <c r="BK416" s="3888"/>
      <c r="BL416" s="3889"/>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41" t="s">
        <v>6124</v>
      </c>
      <c r="AH418" s="4042"/>
      <c r="AI418" s="3884" t="s">
        <v>6505</v>
      </c>
      <c r="AJ418" s="3885"/>
      <c r="AK418" s="3885"/>
      <c r="AL418" s="3885"/>
      <c r="AM418" s="3886"/>
      <c r="AN418" s="4043" t="s">
        <v>6137</v>
      </c>
      <c r="AO418" s="4043"/>
      <c r="AP418" s="4043"/>
      <c r="AQ418" s="4043"/>
      <c r="AR418" s="2397"/>
      <c r="AS418" s="2466"/>
      <c r="AT418" s="2465" t="s">
        <v>6136</v>
      </c>
      <c r="AU418" s="2466"/>
      <c r="AV418" s="2466"/>
      <c r="AW418" s="2466"/>
      <c r="AX418" s="2397"/>
      <c r="AY418" s="3884" t="s">
        <v>6124</v>
      </c>
      <c r="AZ418" s="3886"/>
      <c r="BA418" s="3884" t="s">
        <v>6505</v>
      </c>
      <c r="BB418" s="3885"/>
      <c r="BC418" s="3885"/>
      <c r="BD418" s="3885"/>
      <c r="BE418" s="3886"/>
      <c r="BF418" s="3890" t="s">
        <v>6124</v>
      </c>
      <c r="BG418" s="3890"/>
      <c r="BH418" s="3890" t="s">
        <v>6505</v>
      </c>
      <c r="BI418" s="3890"/>
      <c r="BJ418" s="3890"/>
      <c r="BK418" s="3890"/>
      <c r="BL418" s="3890"/>
      <c r="BM418" s="2397"/>
      <c r="BN418" s="2397"/>
    </row>
    <row r="419" spans="2:66" ht="30">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6943</v>
      </c>
      <c r="AI419" s="2467" t="s">
        <v>6943</v>
      </c>
      <c r="AJ419" s="2467" t="s">
        <v>6913</v>
      </c>
      <c r="AK419" s="2467" t="s">
        <v>6545</v>
      </c>
      <c r="AL419" s="2467" t="s">
        <v>6546</v>
      </c>
      <c r="AM419" s="2467" t="s">
        <v>6547</v>
      </c>
      <c r="AN419" s="3884" t="str">
        <f>'Part I-Project Identification'!F12</f>
        <v>9% Credit Competitive Round only</v>
      </c>
      <c r="AO419" s="3885"/>
      <c r="AP419" s="3885"/>
      <c r="AQ419" s="3886"/>
      <c r="AR419" s="2397"/>
      <c r="AS419" s="2397"/>
      <c r="AT419" s="2199"/>
      <c r="AU419" s="2397"/>
      <c r="AV419" s="2397"/>
      <c r="AW419" s="2397"/>
      <c r="AX419" s="2397"/>
      <c r="AY419" s="2467">
        <v>0.09</v>
      </c>
      <c r="AZ419" s="2467" t="s">
        <v>6943</v>
      </c>
      <c r="BA419" s="2467" t="s">
        <v>6943</v>
      </c>
      <c r="BB419" s="2467" t="s">
        <v>6927</v>
      </c>
      <c r="BC419" s="2467" t="s">
        <v>6545</v>
      </c>
      <c r="BD419" s="2467" t="s">
        <v>6546</v>
      </c>
      <c r="BE419" s="2467" t="s">
        <v>6547</v>
      </c>
      <c r="BF419" s="2467">
        <v>0.09</v>
      </c>
      <c r="BG419" s="2467" t="s">
        <v>6943</v>
      </c>
      <c r="BH419" s="2467" t="s">
        <v>6943</v>
      </c>
      <c r="BI419" s="2467" t="s">
        <v>6927</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31" t="s">
        <v>6561</v>
      </c>
      <c r="AO425" s="4032"/>
      <c r="AP425" s="4032"/>
      <c r="AQ425" s="4032"/>
      <c r="AR425" s="2397"/>
      <c r="AS425" s="2468" t="s">
        <v>720</v>
      </c>
      <c r="AT425" s="2492" t="s">
        <v>3338</v>
      </c>
      <c r="AU425" s="2493"/>
      <c r="AV425" s="2493"/>
      <c r="AW425" s="2493"/>
      <c r="AX425" s="2493"/>
      <c r="AY425" s="2494">
        <f>O106</f>
        <v>1.5</v>
      </c>
      <c r="AZ425" s="2486">
        <f>O106</f>
        <v>1.5</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31"/>
      <c r="AO426" s="4032"/>
      <c r="AP426" s="4032"/>
      <c r="AQ426" s="4032"/>
      <c r="AR426" s="2397"/>
      <c r="AS426" s="2468" t="s">
        <v>280</v>
      </c>
      <c r="AT426" s="2492" t="s">
        <v>3394</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8" t="s">
        <v>1407</v>
      </c>
      <c r="H428" s="3918"/>
      <c r="I428" s="3918"/>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6945</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f>'Part II-Sources of Funds'!$L$14</f>
        <v>0</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6916</v>
      </c>
      <c r="AB447" s="2527" t="s">
        <v>6925</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6925</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69.5</v>
      </c>
      <c r="AZ449" s="2542">
        <f>IF(AND($O$36="4%",($C$36-$A$36)&gt;0),(SUM(AZ420:AZ447)-($C$36-$A$36)),SUM(AZ420:AZ447))</f>
        <v>61.5</v>
      </c>
      <c r="BA449" s="2542">
        <f t="shared" ref="BA449:BB449" si="3">IF(AND($O$36="4%",($C$36-$A$36)&gt;0),(SUM(BA420:BA447)-($C$36-$A$36)),SUM(BA420:BA447))</f>
        <v>28</v>
      </c>
      <c r="BB449" s="2542">
        <f t="shared" si="3"/>
        <v>28</v>
      </c>
      <c r="BC449" s="2542">
        <f t="shared" ref="BC449:BL449" si="4">SUM(BC420:BC447)</f>
        <v>30</v>
      </c>
      <c r="BD449" s="2542">
        <f t="shared" si="4"/>
        <v>30</v>
      </c>
      <c r="BE449" s="2542">
        <f t="shared" si="4"/>
        <v>30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7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3" sqref="B13:M13"/>
    </sheetView>
  </sheetViews>
  <sheetFormatPr baseColWidth="10" defaultColWidth="8.6640625" defaultRowHeight="1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6926</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3191</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8"/>
      <c r="B35" s="4108"/>
      <c r="C35" s="4108"/>
      <c r="D35" s="4108"/>
      <c r="E35" s="4108"/>
      <c r="F35" s="4108"/>
      <c r="G35" s="813"/>
      <c r="H35" s="4108"/>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c r="A38" s="4110"/>
      <c r="B38" s="4110"/>
      <c r="C38" s="4110"/>
      <c r="D38" s="4110"/>
      <c r="E38" s="4110"/>
      <c r="F38" s="4110"/>
      <c r="G38" s="813"/>
      <c r="H38" s="4111"/>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12" t="s">
        <v>868</v>
      </c>
      <c r="I41" s="4112"/>
      <c r="J41" s="4112"/>
      <c r="K41" s="4112"/>
      <c r="L41" s="4112"/>
      <c r="M41" s="4112"/>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baseColWidth="10" defaultColWidth="9.33203125" defaultRowHeight="14"/>
  <cols>
    <col min="1" max="1" width="5.5" style="1327" customWidth="1"/>
    <col min="2" max="2" width="6.33203125" style="1327" customWidth="1"/>
    <col min="3" max="3" width="9.6640625" style="1327" customWidth="1"/>
    <col min="4" max="4" width="10.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9" thickBot="1">
      <c r="A2" s="1374" t="s">
        <v>3966</v>
      </c>
      <c r="B2" s="1374"/>
      <c r="C2" s="1374"/>
      <c r="D2" s="1374"/>
      <c r="E2" s="1374"/>
      <c r="F2" s="1374"/>
      <c r="G2" s="1374"/>
      <c r="H2" s="1374"/>
    </row>
    <row r="3" spans="1:11" ht="15" customHeight="1" thickBot="1">
      <c r="A3" s="1328" t="s">
        <v>3967</v>
      </c>
      <c r="B3" s="1329"/>
      <c r="C3" s="1330"/>
      <c r="D3" s="4168" t="str">
        <f>'Part I-Project Identification'!F25</f>
        <v>Fairhaven on Campbellton</v>
      </c>
      <c r="E3" s="4169"/>
      <c r="F3" s="4169"/>
      <c r="G3" s="4169"/>
      <c r="H3" s="4169"/>
      <c r="I3" s="4169"/>
      <c r="J3" s="4170" t="s">
        <v>6170</v>
      </c>
      <c r="K3" s="4171"/>
    </row>
    <row r="4" spans="1:11" ht="15" customHeight="1">
      <c r="A4" s="1332" t="s">
        <v>3968</v>
      </c>
      <c r="B4" s="1333"/>
      <c r="C4" s="1334"/>
      <c r="D4" s="4172"/>
      <c r="E4" s="4173"/>
      <c r="F4" s="4173"/>
      <c r="G4" s="4173"/>
      <c r="H4" s="4173"/>
      <c r="I4" s="4173"/>
      <c r="J4" s="4174" t="s">
        <v>4009</v>
      </c>
      <c r="K4" s="4175"/>
    </row>
    <row r="5" spans="1:11" ht="15" customHeight="1" thickBot="1">
      <c r="A5" s="1335" t="s">
        <v>3969</v>
      </c>
      <c r="B5" s="1336"/>
      <c r="C5" s="1337"/>
      <c r="D5" s="4178"/>
      <c r="E5" s="4179"/>
      <c r="F5" s="4179"/>
      <c r="G5" s="4179"/>
      <c r="H5" s="4179"/>
      <c r="I5" s="4179"/>
      <c r="J5" s="4176"/>
      <c r="K5" s="4177"/>
    </row>
    <row r="6" spans="1:11" ht="9" customHeight="1" thickBot="1">
      <c r="E6" s="1327"/>
    </row>
    <row r="7" spans="1:11">
      <c r="A7" s="4186" t="s">
        <v>3971</v>
      </c>
      <c r="B7" s="4187"/>
      <c r="C7" s="4187"/>
      <c r="D7" s="4187"/>
      <c r="E7" s="4187"/>
      <c r="F7" s="4187"/>
      <c r="G7" s="4187"/>
      <c r="H7" s="4187"/>
      <c r="I7" s="4187"/>
      <c r="J7" s="4187"/>
      <c r="K7" s="4188"/>
    </row>
    <row r="8" spans="1:11" ht="14.25" customHeight="1">
      <c r="A8" s="1333"/>
      <c r="B8" s="1333"/>
      <c r="C8" s="1567">
        <v>1</v>
      </c>
      <c r="D8" s="1352" t="s">
        <v>3972</v>
      </c>
      <c r="E8" s="1352"/>
      <c r="F8" s="1352"/>
      <c r="G8" s="1352"/>
      <c r="H8" s="1352"/>
      <c r="I8" s="1352"/>
      <c r="J8" s="4184"/>
      <c r="K8" s="4185"/>
    </row>
    <row r="9" spans="1:11" ht="7.25" customHeight="1">
      <c r="A9" s="4123"/>
      <c r="B9" s="4123"/>
      <c r="C9" s="4123"/>
      <c r="D9" s="4124"/>
      <c r="E9" s="4124"/>
      <c r="F9" s="4124"/>
      <c r="G9" s="4124"/>
      <c r="H9" s="4124"/>
      <c r="I9" s="4124"/>
      <c r="J9" s="4124"/>
      <c r="K9" s="1353"/>
    </row>
    <row r="10" spans="1:11">
      <c r="A10" s="4189" t="s">
        <v>3973</v>
      </c>
      <c r="B10" s="4190"/>
      <c r="C10" s="4190"/>
      <c r="D10" s="4190"/>
      <c r="E10" s="4190"/>
      <c r="F10" s="4190"/>
      <c r="G10" s="4190"/>
      <c r="H10" s="4190"/>
      <c r="I10" s="4190"/>
      <c r="J10" s="4190"/>
      <c r="K10" s="4191"/>
    </row>
    <row r="11" spans="1:11" ht="14.25" customHeight="1">
      <c r="A11" s="1333"/>
      <c r="B11" s="1333"/>
      <c r="C11" s="1567">
        <v>2</v>
      </c>
      <c r="D11" s="1352" t="s">
        <v>3974</v>
      </c>
      <c r="E11" s="1354"/>
      <c r="F11" s="1354"/>
      <c r="G11" s="1354"/>
      <c r="H11" s="1354"/>
      <c r="I11" s="1354"/>
      <c r="J11" s="4182"/>
      <c r="K11" s="4183"/>
    </row>
    <row r="12" spans="1:11" ht="7.25" customHeight="1">
      <c r="A12" s="4123"/>
      <c r="B12" s="4123"/>
      <c r="C12" s="4123"/>
      <c r="D12" s="4124"/>
      <c r="E12" s="4124"/>
      <c r="F12" s="4124"/>
      <c r="G12" s="4124"/>
      <c r="H12" s="4124"/>
      <c r="I12" s="4124"/>
      <c r="J12" s="4124"/>
      <c r="K12" s="1355"/>
    </row>
    <row r="13" spans="1:11">
      <c r="A13" s="4189" t="s">
        <v>3975</v>
      </c>
      <c r="B13" s="4190"/>
      <c r="C13" s="4190"/>
      <c r="D13" s="4190"/>
      <c r="E13" s="4190"/>
      <c r="F13" s="4190"/>
      <c r="G13" s="4190"/>
      <c r="H13" s="4190"/>
      <c r="I13" s="4190"/>
      <c r="J13" s="4190"/>
      <c r="K13" s="4191"/>
    </row>
    <row r="14" spans="1:11" ht="14.25" customHeight="1">
      <c r="A14" s="1333"/>
      <c r="B14" s="1333"/>
      <c r="C14" s="1568">
        <v>3</v>
      </c>
      <c r="D14" s="1356" t="s">
        <v>3976</v>
      </c>
      <c r="E14" s="1356"/>
      <c r="F14" s="1356"/>
      <c r="G14" s="1356"/>
      <c r="H14" s="1356"/>
      <c r="I14" s="1356"/>
      <c r="J14" s="4180"/>
      <c r="K14" s="4181"/>
    </row>
    <row r="15" spans="1:11" ht="14.25" customHeight="1">
      <c r="A15" s="1333"/>
      <c r="B15" s="1333"/>
      <c r="C15" s="1569">
        <v>4</v>
      </c>
      <c r="D15" s="1333" t="s">
        <v>3977</v>
      </c>
      <c r="E15" s="1333"/>
      <c r="F15" s="1333"/>
      <c r="G15" s="1333"/>
      <c r="H15" s="1333"/>
      <c r="I15" s="1333"/>
      <c r="J15" s="4121"/>
      <c r="K15" s="4122"/>
    </row>
    <row r="16" spans="1:11" ht="14.25" customHeight="1">
      <c r="A16" s="1333"/>
      <c r="B16" s="1333"/>
      <c r="C16" s="1569">
        <v>5</v>
      </c>
      <c r="D16" s="1333" t="s">
        <v>3978</v>
      </c>
      <c r="E16" s="1333"/>
      <c r="F16" s="1333"/>
      <c r="G16" s="1333"/>
      <c r="H16" s="1333"/>
      <c r="I16" s="1333"/>
      <c r="J16" s="4121"/>
      <c r="K16" s="4122"/>
    </row>
    <row r="17" spans="1:13" ht="14.25" customHeight="1">
      <c r="A17" s="1333"/>
      <c r="B17" s="1333"/>
      <c r="C17" s="1570">
        <v>6</v>
      </c>
      <c r="D17" s="1336" t="s">
        <v>3979</v>
      </c>
      <c r="E17" s="1336"/>
      <c r="F17" s="1336"/>
      <c r="G17" s="1336"/>
      <c r="H17" s="1336"/>
      <c r="I17" s="1336"/>
      <c r="J17" s="4119"/>
      <c r="K17" s="4120"/>
    </row>
    <row r="18" spans="1:13" ht="7.25" customHeight="1">
      <c r="A18" s="4123"/>
      <c r="B18" s="4123"/>
      <c r="C18" s="4123"/>
      <c r="D18" s="4124"/>
      <c r="E18" s="4124"/>
      <c r="F18" s="4124"/>
      <c r="G18" s="4124"/>
      <c r="H18" s="4124"/>
      <c r="I18" s="4124"/>
      <c r="J18" s="4124"/>
      <c r="K18" s="1355"/>
    </row>
    <row r="19" spans="1:13" ht="14.25" customHeight="1">
      <c r="A19" s="1333"/>
      <c r="B19" s="1333"/>
      <c r="C19" s="1568">
        <v>7</v>
      </c>
      <c r="D19" s="1356" t="s">
        <v>3980</v>
      </c>
      <c r="E19" s="1356"/>
      <c r="F19" s="1356"/>
      <c r="G19" s="1356"/>
      <c r="H19" s="1356"/>
      <c r="I19" s="1356"/>
      <c r="J19" s="4117" t="str">
        <f>IF(J17="No",J14-J15,IF(J17="Yes",J14-J15-J16,"Error"))</f>
        <v>Error</v>
      </c>
      <c r="K19" s="4118"/>
    </row>
    <row r="20" spans="1:13" ht="14.25" customHeight="1">
      <c r="A20" s="1333"/>
      <c r="B20" s="1333"/>
      <c r="C20" s="1570">
        <v>8</v>
      </c>
      <c r="D20" s="1336" t="s">
        <v>3981</v>
      </c>
      <c r="E20" s="1336"/>
      <c r="F20" s="1336"/>
      <c r="G20" s="1336"/>
      <c r="H20" s="1336"/>
      <c r="I20" s="1336"/>
      <c r="J20" s="4115" t="e">
        <f>ROUNDDOWN(J19/J8,2)</f>
        <v>#VALUE!</v>
      </c>
      <c r="K20" s="4116"/>
    </row>
    <row r="21" spans="1:13" ht="7.25" customHeight="1">
      <c r="A21" s="4123"/>
      <c r="B21" s="4123"/>
      <c r="C21" s="4123"/>
      <c r="D21" s="4124"/>
      <c r="E21" s="4124"/>
      <c r="F21" s="4124"/>
      <c r="G21" s="4124"/>
      <c r="H21" s="4124"/>
      <c r="I21" s="4124"/>
      <c r="J21" s="4124"/>
      <c r="K21" s="1355"/>
    </row>
    <row r="22" spans="1:13" ht="14.25" customHeight="1" thickBot="1">
      <c r="A22" s="1333"/>
      <c r="B22" s="1333"/>
      <c r="C22" s="1567">
        <v>9</v>
      </c>
      <c r="D22" s="1357" t="s">
        <v>3982</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4013</v>
      </c>
      <c r="B30" s="4157"/>
      <c r="C30" s="4157"/>
      <c r="D30" s="4157"/>
      <c r="E30" s="4157"/>
      <c r="F30" s="4157"/>
      <c r="G30" s="4157"/>
      <c r="H30" s="4157"/>
      <c r="I30" s="4157"/>
      <c r="J30" s="4157"/>
      <c r="K30" s="4158"/>
    </row>
    <row r="31" spans="1:13">
      <c r="B31" s="4159" t="s">
        <v>6170</v>
      </c>
      <c r="C31" s="4159"/>
      <c r="D31" s="4159"/>
      <c r="E31" s="4159"/>
      <c r="F31" s="4159"/>
      <c r="G31" s="4160" t="s">
        <v>3984</v>
      </c>
      <c r="H31" s="4161"/>
      <c r="I31" s="4161"/>
      <c r="J31" s="4161"/>
      <c r="K31" s="4162"/>
    </row>
    <row r="32" spans="1:13" ht="56.25" customHeight="1">
      <c r="A32" s="1351"/>
      <c r="B32" s="1369" t="s">
        <v>4012</v>
      </c>
      <c r="C32" s="1370" t="s">
        <v>4008</v>
      </c>
      <c r="D32" s="1370" t="s">
        <v>4007</v>
      </c>
      <c r="E32" s="4163" t="s">
        <v>6098</v>
      </c>
      <c r="F32" s="4164"/>
      <c r="G32" s="1371" t="s">
        <v>3985</v>
      </c>
      <c r="H32" s="1371" t="s">
        <v>3986</v>
      </c>
      <c r="J32" s="1371" t="s">
        <v>3987</v>
      </c>
      <c r="K32" s="1371" t="s">
        <v>3988</v>
      </c>
      <c r="L32" s="4165" t="s">
        <v>3989</v>
      </c>
      <c r="M32" s="4165"/>
    </row>
    <row r="33" spans="2:14" ht="12.75" customHeight="1">
      <c r="B33" s="1558"/>
      <c r="C33" s="1559"/>
      <c r="D33" s="1560"/>
      <c r="E33" s="4166"/>
      <c r="F33" s="416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561"/>
      <c r="C34" s="1562"/>
      <c r="D34" s="1563"/>
      <c r="E34" s="4147"/>
      <c r="F34" s="4148"/>
      <c r="G34" s="1391" t="e">
        <f t="shared" si="0"/>
        <v>#VALUE!</v>
      </c>
      <c r="H34" s="1392" t="e">
        <f t="shared" ref="H34:H51" si="3">ROUNDUP(G34,0)</f>
        <v>#VALUE!</v>
      </c>
      <c r="I34" s="1389"/>
      <c r="J34" s="1393" t="e">
        <f t="shared" si="1"/>
        <v>#VALUE!</v>
      </c>
      <c r="K34" s="1393" t="e">
        <f t="shared" si="2"/>
        <v>#VALUE!</v>
      </c>
      <c r="L34" s="4165"/>
      <c r="M34" s="4165"/>
    </row>
    <row r="35" spans="2:14" ht="12.75" customHeight="1">
      <c r="B35" s="1561"/>
      <c r="C35" s="1562"/>
      <c r="D35" s="1563"/>
      <c r="E35" s="4147"/>
      <c r="F35" s="4148"/>
      <c r="G35" s="1391" t="e">
        <f t="shared" si="0"/>
        <v>#VALUE!</v>
      </c>
      <c r="H35" s="1392" t="e">
        <f t="shared" si="3"/>
        <v>#VALUE!</v>
      </c>
      <c r="I35" s="1389"/>
      <c r="J35" s="1393" t="e">
        <f t="shared" si="1"/>
        <v>#VALUE!</v>
      </c>
      <c r="K35" s="1393" t="e">
        <f t="shared" si="2"/>
        <v>#VALUE!</v>
      </c>
      <c r="L35" s="4165"/>
      <c r="M35" s="4165"/>
    </row>
    <row r="36" spans="2:14" ht="12.75" customHeight="1">
      <c r="B36" s="1561"/>
      <c r="C36" s="1562"/>
      <c r="D36" s="1563"/>
      <c r="E36" s="4147"/>
      <c r="F36" s="4148"/>
      <c r="G36" s="1391" t="e">
        <f t="shared" si="0"/>
        <v>#VALUE!</v>
      </c>
      <c r="H36" s="1392" t="e">
        <f t="shared" si="3"/>
        <v>#VALUE!</v>
      </c>
      <c r="I36" s="1389"/>
      <c r="J36" s="1393" t="e">
        <f t="shared" si="1"/>
        <v>#VALUE!</v>
      </c>
      <c r="K36" s="1393" t="e">
        <f t="shared" si="2"/>
        <v>#VALUE!</v>
      </c>
      <c r="L36" s="4165"/>
      <c r="M36" s="4165"/>
      <c r="N36" s="1346"/>
    </row>
    <row r="37" spans="2:14" ht="12.75" customHeight="1">
      <c r="B37" s="1561"/>
      <c r="C37" s="1562"/>
      <c r="D37" s="1563"/>
      <c r="E37" s="4147"/>
      <c r="F37" s="4148"/>
      <c r="G37" s="1391" t="e">
        <f t="shared" si="0"/>
        <v>#VALUE!</v>
      </c>
      <c r="H37" s="1392" t="e">
        <f t="shared" si="3"/>
        <v>#VALUE!</v>
      </c>
      <c r="I37" s="1389"/>
      <c r="J37" s="1393" t="e">
        <f t="shared" si="1"/>
        <v>#VALUE!</v>
      </c>
      <c r="K37" s="1393" t="e">
        <f t="shared" si="2"/>
        <v>#VALUE!</v>
      </c>
      <c r="L37" s="4165"/>
      <c r="M37" s="4165"/>
    </row>
    <row r="38" spans="2:14" ht="12.75" customHeight="1">
      <c r="B38" s="1561"/>
      <c r="C38" s="1562"/>
      <c r="D38" s="1563"/>
      <c r="E38" s="4147"/>
      <c r="F38" s="4148"/>
      <c r="G38" s="1391" t="e">
        <f t="shared" si="0"/>
        <v>#VALUE!</v>
      </c>
      <c r="H38" s="1392" t="e">
        <f t="shared" si="3"/>
        <v>#VALUE!</v>
      </c>
      <c r="I38" s="1389"/>
      <c r="J38" s="1393" t="e">
        <f t="shared" si="1"/>
        <v>#VALUE!</v>
      </c>
      <c r="K38" s="1393" t="e">
        <f t="shared" si="2"/>
        <v>#VALUE!</v>
      </c>
      <c r="L38" s="4165"/>
      <c r="M38" s="4165"/>
    </row>
    <row r="39" spans="2:14" ht="12.75" customHeight="1">
      <c r="B39" s="1561"/>
      <c r="C39" s="1562"/>
      <c r="D39" s="1563"/>
      <c r="E39" s="4147"/>
      <c r="F39" s="4148"/>
      <c r="G39" s="1391" t="e">
        <f t="shared" si="0"/>
        <v>#VALUE!</v>
      </c>
      <c r="H39" s="1392" t="e">
        <f t="shared" si="3"/>
        <v>#VALUE!</v>
      </c>
      <c r="I39" s="1389"/>
      <c r="J39" s="1393" t="e">
        <f t="shared" si="1"/>
        <v>#VALUE!</v>
      </c>
      <c r="K39" s="1393" t="e">
        <f t="shared" si="2"/>
        <v>#VALUE!</v>
      </c>
      <c r="L39" s="4165"/>
      <c r="M39" s="4165"/>
    </row>
    <row r="40" spans="2:14" ht="12.75" customHeight="1">
      <c r="B40" s="1561"/>
      <c r="C40" s="1562"/>
      <c r="D40" s="1563"/>
      <c r="E40" s="4147"/>
      <c r="F40" s="4148"/>
      <c r="G40" s="1391" t="e">
        <f t="shared" si="0"/>
        <v>#VALUE!</v>
      </c>
      <c r="H40" s="1392" t="e">
        <f t="shared" si="3"/>
        <v>#VALUE!</v>
      </c>
      <c r="I40" s="1389"/>
      <c r="J40" s="1393" t="e">
        <f t="shared" si="1"/>
        <v>#VALUE!</v>
      </c>
      <c r="K40" s="1393" t="e">
        <f t="shared" si="2"/>
        <v>#VALUE!</v>
      </c>
      <c r="L40" s="4165"/>
      <c r="M40" s="4165"/>
    </row>
    <row r="41" spans="2:14" ht="12.75" customHeight="1">
      <c r="B41" s="1561"/>
      <c r="C41" s="1562"/>
      <c r="D41" s="1563"/>
      <c r="E41" s="4147"/>
      <c r="F41" s="4148"/>
      <c r="G41" s="1391" t="e">
        <f t="shared" si="0"/>
        <v>#VALUE!</v>
      </c>
      <c r="H41" s="1392" t="e">
        <f t="shared" si="3"/>
        <v>#VALUE!</v>
      </c>
      <c r="I41" s="1389"/>
      <c r="J41" s="1393" t="e">
        <f t="shared" si="1"/>
        <v>#VALUE!</v>
      </c>
      <c r="K41" s="1393" t="e">
        <f t="shared" si="2"/>
        <v>#VALUE!</v>
      </c>
      <c r="L41" s="4165"/>
      <c r="M41" s="4165"/>
    </row>
    <row r="42" spans="2:14" ht="12.75" customHeight="1">
      <c r="B42" s="1561"/>
      <c r="C42" s="1562"/>
      <c r="D42" s="1563"/>
      <c r="E42" s="4147"/>
      <c r="F42" s="4148"/>
      <c r="G42" s="1391" t="e">
        <f t="shared" si="0"/>
        <v>#VALUE!</v>
      </c>
      <c r="H42" s="1392" t="e">
        <f t="shared" si="3"/>
        <v>#VALUE!</v>
      </c>
      <c r="I42" s="1389"/>
      <c r="J42" s="1393" t="e">
        <f t="shared" si="1"/>
        <v>#VALUE!</v>
      </c>
      <c r="K42" s="1393" t="e">
        <f t="shared" si="2"/>
        <v>#VALUE!</v>
      </c>
      <c r="L42" s="4165"/>
      <c r="M42" s="4165"/>
    </row>
    <row r="43" spans="2:14" ht="12.75" customHeight="1">
      <c r="B43" s="1561"/>
      <c r="C43" s="1562"/>
      <c r="D43" s="1563"/>
      <c r="E43" s="4147"/>
      <c r="F43" s="4148"/>
      <c r="G43" s="1391" t="e">
        <f t="shared" si="0"/>
        <v>#VALUE!</v>
      </c>
      <c r="H43" s="1392" t="e">
        <f t="shared" si="3"/>
        <v>#VALUE!</v>
      </c>
      <c r="I43" s="1389"/>
      <c r="J43" s="1393" t="e">
        <f t="shared" si="1"/>
        <v>#VALUE!</v>
      </c>
      <c r="K43" s="1393" t="e">
        <f t="shared" si="2"/>
        <v>#VALUE!</v>
      </c>
      <c r="L43" s="4165"/>
      <c r="M43" s="4165"/>
    </row>
    <row r="44" spans="2:14" ht="12.75" customHeight="1">
      <c r="B44" s="1561"/>
      <c r="C44" s="1562"/>
      <c r="D44" s="1563"/>
      <c r="E44" s="4147"/>
      <c r="F44" s="4148"/>
      <c r="G44" s="1391" t="e">
        <f t="shared" si="0"/>
        <v>#VALUE!</v>
      </c>
      <c r="H44" s="1392" t="e">
        <f t="shared" si="3"/>
        <v>#VALUE!</v>
      </c>
      <c r="I44" s="1389"/>
      <c r="J44" s="1393" t="e">
        <f t="shared" si="1"/>
        <v>#VALUE!</v>
      </c>
      <c r="K44" s="1393" t="e">
        <f t="shared" si="2"/>
        <v>#VALUE!</v>
      </c>
      <c r="L44" s="4165"/>
      <c r="M44" s="4165"/>
    </row>
    <row r="45" spans="2:14" ht="12.75" customHeight="1">
      <c r="B45" s="1561"/>
      <c r="C45" s="1562"/>
      <c r="D45" s="1563"/>
      <c r="E45" s="4147"/>
      <c r="F45" s="4148"/>
      <c r="G45" s="1391" t="e">
        <f t="shared" si="0"/>
        <v>#VALUE!</v>
      </c>
      <c r="H45" s="1392" t="e">
        <f t="shared" si="3"/>
        <v>#VALUE!</v>
      </c>
      <c r="I45" s="1389"/>
      <c r="J45" s="1393" t="e">
        <f t="shared" si="1"/>
        <v>#VALUE!</v>
      </c>
      <c r="K45" s="1393" t="e">
        <f t="shared" si="2"/>
        <v>#VALUE!</v>
      </c>
      <c r="L45" s="4165"/>
      <c r="M45" s="4165"/>
    </row>
    <row r="46" spans="2:14" ht="12.75" customHeight="1">
      <c r="B46" s="1561"/>
      <c r="C46" s="1562"/>
      <c r="D46" s="1563"/>
      <c r="E46" s="4147"/>
      <c r="F46" s="4148"/>
      <c r="G46" s="1391" t="e">
        <f t="shared" si="0"/>
        <v>#VALUE!</v>
      </c>
      <c r="H46" s="1392" t="e">
        <f t="shared" si="3"/>
        <v>#VALUE!</v>
      </c>
      <c r="I46" s="1389"/>
      <c r="J46" s="1393" t="e">
        <f t="shared" si="1"/>
        <v>#VALUE!</v>
      </c>
      <c r="K46" s="1393" t="e">
        <f t="shared" si="2"/>
        <v>#VALUE!</v>
      </c>
      <c r="L46" s="4165"/>
      <c r="M46" s="4165"/>
    </row>
    <row r="47" spans="2:14" ht="12.75" customHeight="1">
      <c r="B47" s="1561"/>
      <c r="C47" s="1562"/>
      <c r="D47" s="1563"/>
      <c r="E47" s="4147"/>
      <c r="F47" s="4148"/>
      <c r="G47" s="1391" t="e">
        <f t="shared" si="0"/>
        <v>#VALUE!</v>
      </c>
      <c r="H47" s="1392" t="e">
        <f t="shared" si="3"/>
        <v>#VALUE!</v>
      </c>
      <c r="I47" s="1389"/>
      <c r="J47" s="1393" t="e">
        <f t="shared" si="1"/>
        <v>#VALUE!</v>
      </c>
      <c r="K47" s="1393" t="e">
        <f t="shared" si="2"/>
        <v>#VALUE!</v>
      </c>
      <c r="L47" s="4165"/>
      <c r="M47" s="4165"/>
    </row>
    <row r="48" spans="2:14" ht="12.75" customHeight="1">
      <c r="B48" s="1561"/>
      <c r="C48" s="1562"/>
      <c r="D48" s="1563"/>
      <c r="E48" s="4147"/>
      <c r="F48" s="4148"/>
      <c r="G48" s="1391" t="e">
        <f t="shared" si="0"/>
        <v>#VALUE!</v>
      </c>
      <c r="H48" s="1392" t="e">
        <f t="shared" si="3"/>
        <v>#VALUE!</v>
      </c>
      <c r="I48" s="1389"/>
      <c r="J48" s="1393" t="e">
        <f t="shared" si="1"/>
        <v>#VALUE!</v>
      </c>
      <c r="K48" s="1393" t="e">
        <f t="shared" si="2"/>
        <v>#VALUE!</v>
      </c>
      <c r="L48" s="4165"/>
      <c r="M48" s="4165"/>
    </row>
    <row r="49" spans="1:13" ht="12.75" customHeight="1">
      <c r="B49" s="1561"/>
      <c r="C49" s="1562"/>
      <c r="D49" s="1563"/>
      <c r="E49" s="4147"/>
      <c r="F49" s="4148"/>
      <c r="G49" s="1391" t="e">
        <f t="shared" si="0"/>
        <v>#VALUE!</v>
      </c>
      <c r="H49" s="1392" t="e">
        <f t="shared" si="3"/>
        <v>#VALUE!</v>
      </c>
      <c r="I49" s="1389"/>
      <c r="J49" s="1393" t="e">
        <f t="shared" si="1"/>
        <v>#VALUE!</v>
      </c>
      <c r="K49" s="1393" t="e">
        <f t="shared" si="2"/>
        <v>#VALUE!</v>
      </c>
      <c r="L49" s="4165"/>
      <c r="M49" s="4165"/>
    </row>
    <row r="50" spans="1:13" ht="12.75" customHeight="1">
      <c r="B50" s="1561"/>
      <c r="C50" s="1562"/>
      <c r="D50" s="1563"/>
      <c r="E50" s="4147"/>
      <c r="F50" s="4148"/>
      <c r="G50" s="1391" t="e">
        <f t="shared" si="0"/>
        <v>#VALUE!</v>
      </c>
      <c r="H50" s="1392" t="e">
        <f t="shared" si="3"/>
        <v>#VALUE!</v>
      </c>
      <c r="I50" s="1389"/>
      <c r="J50" s="1393" t="e">
        <f t="shared" si="1"/>
        <v>#VALUE!</v>
      </c>
      <c r="K50" s="1393" t="e">
        <f t="shared" si="2"/>
        <v>#VALUE!</v>
      </c>
      <c r="L50" s="4165"/>
      <c r="M50" s="4165"/>
    </row>
    <row r="51" spans="1:13" ht="12.75" customHeight="1" thickBot="1">
      <c r="B51" s="1564"/>
      <c r="C51" s="1565"/>
      <c r="D51" s="1566"/>
      <c r="E51" s="4149"/>
      <c r="F51" s="4150"/>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3990</v>
      </c>
      <c r="H52" s="1372" t="e">
        <f>SUM(H33:H51)</f>
        <v>#VALUE!</v>
      </c>
      <c r="I52" s="1356"/>
      <c r="J52" s="1362" t="s">
        <v>3991</v>
      </c>
      <c r="K52" s="1358" t="e">
        <f>SUM(K33:K51)</f>
        <v>#VALUE!</v>
      </c>
      <c r="L52" s="4165"/>
      <c r="M52" s="4165"/>
    </row>
    <row r="53" spans="1:13" ht="15" customHeight="1">
      <c r="B53" s="1363"/>
      <c r="C53" s="4151" t="s">
        <v>3992</v>
      </c>
      <c r="D53" s="4151"/>
      <c r="E53" s="4151"/>
      <c r="F53" s="4151"/>
      <c r="G53" s="4151"/>
      <c r="H53" s="4151"/>
      <c r="I53" s="4151"/>
      <c r="J53" s="4152"/>
      <c r="K53" s="1364" t="str">
        <f>IF(J17="no",0,IF(J17="yes",J16,"Error"))</f>
        <v>Error</v>
      </c>
      <c r="L53" s="4165"/>
      <c r="M53" s="4165"/>
    </row>
    <row r="54" spans="1:13" ht="15" customHeight="1" thickBot="1">
      <c r="B54" s="1363"/>
      <c r="C54" s="4153" t="s">
        <v>3993</v>
      </c>
      <c r="D54" s="4153"/>
      <c r="E54" s="4153"/>
      <c r="F54" s="4153"/>
      <c r="G54" s="4153"/>
      <c r="H54" s="4153"/>
      <c r="I54" s="4153"/>
      <c r="J54" s="4154"/>
      <c r="K54" s="1375" t="e">
        <f>K52+K53</f>
        <v>#VALUE!</v>
      </c>
    </row>
    <row r="55" spans="1:13" ht="8" customHeight="1">
      <c r="A55" s="4155"/>
      <c r="B55" s="4125"/>
      <c r="C55" s="4125"/>
      <c r="D55" s="4125"/>
      <c r="E55" s="4125"/>
      <c r="F55" s="4125"/>
      <c r="G55" s="4125"/>
      <c r="H55" s="4125"/>
      <c r="I55" s="4125"/>
      <c r="J55" s="4125"/>
      <c r="K55" s="1386"/>
    </row>
    <row r="56" spans="1:13" ht="15" customHeight="1">
      <c r="A56" s="4126" t="s">
        <v>3994</v>
      </c>
      <c r="B56" s="4127"/>
      <c r="C56" s="4127"/>
      <c r="D56" s="4127"/>
      <c r="E56" s="4127"/>
      <c r="F56" s="4127"/>
      <c r="G56" s="4127"/>
      <c r="H56" s="4127"/>
      <c r="I56" s="4127"/>
      <c r="J56" s="4127"/>
      <c r="K56" s="4128"/>
    </row>
    <row r="57" spans="1:13" ht="48" customHeight="1">
      <c r="A57" s="1348"/>
      <c r="B57" s="1339"/>
      <c r="C57" s="1350" t="s">
        <v>3995</v>
      </c>
      <c r="D57" s="1483" t="s">
        <v>6063</v>
      </c>
      <c r="E57" s="4138" t="s">
        <v>4011</v>
      </c>
      <c r="F57" s="4139"/>
      <c r="G57" s="4140" t="s">
        <v>3996</v>
      </c>
      <c r="H57" s="4141"/>
      <c r="I57" s="4138" t="s">
        <v>4010</v>
      </c>
      <c r="J57" s="4139"/>
      <c r="K57" s="4142"/>
    </row>
    <row r="58" spans="1:13" ht="15" customHeight="1">
      <c r="A58" s="1465"/>
      <c r="B58" s="1381"/>
      <c r="C58" s="1359">
        <f>SUMIF(C33:C51, "0", H33:H51)</f>
        <v>0</v>
      </c>
      <c r="D58" s="1484">
        <f t="shared" ref="D58:D63" si="4">ROUNDUP(C58*1.1,0)</f>
        <v>0</v>
      </c>
      <c r="E58" s="4144" t="s">
        <v>3997</v>
      </c>
      <c r="F58" s="4145"/>
      <c r="G58" s="4132">
        <f>'DCA Underwriting Assumptions'!H129</f>
        <v>159753.60000000001</v>
      </c>
      <c r="H58" s="4133"/>
      <c r="I58" s="4146">
        <f t="shared" ref="I58:I63" si="5">D58*G58</f>
        <v>0</v>
      </c>
      <c r="J58" s="4146"/>
      <c r="K58" s="4143"/>
    </row>
    <row r="59" spans="1:13">
      <c r="A59" s="1465"/>
      <c r="B59" s="1381"/>
      <c r="C59" s="1360">
        <f>SUMIF(C33:C51, "1", H33:H51)</f>
        <v>0</v>
      </c>
      <c r="D59" s="1485">
        <f t="shared" si="4"/>
        <v>0</v>
      </c>
      <c r="E59" s="4130" t="s">
        <v>2462</v>
      </c>
      <c r="F59" s="4131"/>
      <c r="G59" s="4132">
        <f>'DCA Underwriting Assumptions'!H130</f>
        <v>183132</v>
      </c>
      <c r="H59" s="4133"/>
      <c r="I59" s="4134">
        <f t="shared" si="5"/>
        <v>0</v>
      </c>
      <c r="J59" s="4134"/>
      <c r="K59" s="4143"/>
    </row>
    <row r="60" spans="1:13" ht="15" customHeight="1">
      <c r="A60" s="1465"/>
      <c r="B60" s="1381"/>
      <c r="C60" s="1360">
        <f>SUMIF(C33:C51, "2", H33:H51)</f>
        <v>0</v>
      </c>
      <c r="D60" s="1485">
        <f t="shared" si="4"/>
        <v>0</v>
      </c>
      <c r="E60" s="4130" t="s">
        <v>2463</v>
      </c>
      <c r="F60" s="4131"/>
      <c r="G60" s="4132">
        <f>'DCA Underwriting Assumptions'!H131</f>
        <v>222693.6</v>
      </c>
      <c r="H60" s="4133"/>
      <c r="I60" s="4134">
        <f t="shared" si="5"/>
        <v>0</v>
      </c>
      <c r="J60" s="4134"/>
      <c r="K60" s="4143"/>
    </row>
    <row r="61" spans="1:13">
      <c r="A61" s="1465"/>
      <c r="B61" s="1381"/>
      <c r="C61" s="1360">
        <f>SUMIF(C33:C51, "3", H33:H51)</f>
        <v>0</v>
      </c>
      <c r="D61" s="1485">
        <f t="shared" si="4"/>
        <v>0</v>
      </c>
      <c r="E61" s="4130" t="s">
        <v>2466</v>
      </c>
      <c r="F61" s="4131"/>
      <c r="G61" s="4132">
        <f>'DCA Underwriting Assumptions'!H132</f>
        <v>288093.59999999998</v>
      </c>
      <c r="H61" s="4133"/>
      <c r="I61" s="4134">
        <f t="shared" si="5"/>
        <v>0</v>
      </c>
      <c r="J61" s="4134"/>
      <c r="K61" s="4143"/>
    </row>
    <row r="62" spans="1:13">
      <c r="A62" s="1465"/>
      <c r="B62" s="1381"/>
      <c r="C62" s="1360">
        <f>SUMIF(C33:C51, "4", H33:H51)</f>
        <v>0</v>
      </c>
      <c r="D62" s="1485">
        <f t="shared" si="4"/>
        <v>0</v>
      </c>
      <c r="E62" s="4130" t="s">
        <v>3998</v>
      </c>
      <c r="F62" s="4131"/>
      <c r="G62" s="4132">
        <f>'DCA Underwriting Assumptions'!H133</f>
        <v>316236</v>
      </c>
      <c r="H62" s="4133"/>
      <c r="I62" s="4134">
        <f t="shared" si="5"/>
        <v>0</v>
      </c>
      <c r="J62" s="4134"/>
      <c r="K62" s="4143"/>
    </row>
    <row r="63" spans="1:13">
      <c r="A63" s="1482"/>
      <c r="B63" s="1382"/>
      <c r="C63" s="1361">
        <f>SUMIF(C33:C51, "5", H33:H51)</f>
        <v>0</v>
      </c>
      <c r="D63" s="1486">
        <f t="shared" si="4"/>
        <v>0</v>
      </c>
      <c r="E63" s="4135" t="s">
        <v>3999</v>
      </c>
      <c r="F63" s="4136"/>
      <c r="G63" s="4132">
        <f>'DCA Underwriting Assumptions'!H133</f>
        <v>316236</v>
      </c>
      <c r="H63" s="4133"/>
      <c r="I63" s="4137">
        <f t="shared" si="5"/>
        <v>0</v>
      </c>
      <c r="J63" s="4137"/>
      <c r="K63" s="1384"/>
    </row>
    <row r="64" spans="1:13" ht="15" thickBot="1">
      <c r="A64" s="1481" t="s">
        <v>4000</v>
      </c>
      <c r="B64" s="1377">
        <f>SUM(C58:C63)</f>
        <v>0</v>
      </c>
      <c r="C64" s="1487"/>
      <c r="D64" s="1487">
        <f>SUM(D58:D63)</f>
        <v>0</v>
      </c>
      <c r="E64" s="1480"/>
      <c r="F64" s="1480"/>
      <c r="G64" s="1480"/>
      <c r="H64" s="1480"/>
      <c r="I64" s="1480"/>
      <c r="J64" s="1466" t="s">
        <v>4001</v>
      </c>
      <c r="K64" s="1376">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5" thickBot="1">
      <c r="A69" s="1380"/>
      <c r="B69" s="1340"/>
      <c r="C69" s="1340"/>
      <c r="D69" s="1340"/>
      <c r="E69" s="1340" t="s">
        <v>4005</v>
      </c>
      <c r="F69" s="1340"/>
      <c r="G69" s="1340"/>
      <c r="H69" s="1340"/>
      <c r="I69" s="1340"/>
      <c r="J69" s="1382"/>
      <c r="K69" s="1385">
        <f>K64</f>
        <v>0</v>
      </c>
    </row>
    <row r="70" spans="1:11" ht="15" thickBot="1">
      <c r="A70" s="1349"/>
      <c r="B70" s="1341"/>
      <c r="C70" s="4129" t="s">
        <v>4006</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5"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323" t="str">
        <f>CONCATENATE("PART SEVEN - THRESHOLD CRITERIA","  -  ",'Part I-Project Identification'!$O$7," ",'Part I-Project Identification'!$F$25,", ",'Part I-Project Identification'!F26,", ",'Part I-Project Identification'!J26," County")</f>
        <v>PART SEVEN - THRESHOLD CRITERIA  -  2023-0 Fairhaven on Campbellton, Atlanta, Fulton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6530</v>
      </c>
      <c r="R3" s="1804"/>
      <c r="S3" s="1804"/>
    </row>
    <row r="4" spans="1:19" ht="3" customHeight="1">
      <c r="A4" s="686"/>
      <c r="B4" s="4313"/>
      <c r="C4" s="4313"/>
      <c r="D4" s="4313"/>
      <c r="E4" s="686"/>
      <c r="F4" s="686"/>
      <c r="G4" s="686"/>
      <c r="H4" s="686"/>
      <c r="J4" s="490"/>
      <c r="K4" s="686"/>
      <c r="L4" s="686"/>
      <c r="M4" s="686"/>
      <c r="N4" s="686"/>
      <c r="P4" s="4323"/>
      <c r="Q4" s="4369"/>
      <c r="R4" s="1804"/>
      <c r="S4" s="1804"/>
    </row>
    <row r="5" spans="1:19">
      <c r="E5" s="4321" t="str">
        <f>'Part I-Project Identification'!$A$6</f>
        <v>April 2023</v>
      </c>
      <c r="F5" s="4321"/>
      <c r="G5" s="4321"/>
      <c r="H5" s="4321"/>
      <c r="I5" s="4321"/>
      <c r="J5" s="490"/>
      <c r="K5" s="1805"/>
      <c r="L5" s="1806" t="s">
        <v>6529</v>
      </c>
      <c r="M5" s="1807" t="str">
        <f>'Part I-Project Identification'!$F$12</f>
        <v>9% Credit Competitive Round only</v>
      </c>
      <c r="N5" s="1808"/>
      <c r="O5" s="1809"/>
      <c r="P5" s="4324"/>
      <c r="Q5" s="4370"/>
      <c r="R5" s="1604"/>
      <c r="S5" s="1604"/>
    </row>
    <row r="6" spans="1:19" ht="17.25" customHeight="1">
      <c r="A6" s="96" t="s">
        <v>6528</v>
      </c>
      <c r="I6" s="490"/>
      <c r="J6" s="490"/>
      <c r="K6" s="4319" t="s">
        <v>3280</v>
      </c>
      <c r="L6" s="4319"/>
      <c r="M6" s="4319"/>
      <c r="N6" s="4319"/>
      <c r="O6" s="4320"/>
      <c r="P6" s="4314"/>
      <c r="Q6" s="4315"/>
      <c r="R6" s="1604"/>
      <c r="S6" s="1604"/>
    </row>
    <row r="7" spans="1:19" ht="12.5" customHeight="1">
      <c r="A7" s="97" t="s">
        <v>3066</v>
      </c>
      <c r="H7" s="1001"/>
      <c r="I7" s="1803"/>
      <c r="J7" s="1803"/>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7" t="s">
        <v>1883</v>
      </c>
      <c r="S8" s="3010"/>
    </row>
    <row r="9" spans="1:19" ht="23.25" customHeight="1">
      <c r="A9" s="4298" t="s">
        <v>218</v>
      </c>
      <c r="B9" s="4299"/>
      <c r="C9" s="4299"/>
      <c r="D9" s="4299"/>
      <c r="E9" s="4299"/>
      <c r="F9" s="4299"/>
      <c r="G9" s="4299"/>
      <c r="H9" s="4299"/>
      <c r="I9" s="4299"/>
      <c r="J9" s="4299"/>
      <c r="K9" s="4299"/>
      <c r="L9" s="4299"/>
      <c r="M9" s="4299"/>
      <c r="N9" s="4299"/>
      <c r="O9" s="4299"/>
      <c r="P9" s="4299"/>
      <c r="Q9" s="4300"/>
      <c r="R9" s="3047"/>
      <c r="S9" s="3010"/>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7"/>
      <c r="S10" s="3010"/>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7"/>
      <c r="S11" s="3010"/>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7"/>
      <c r="S15" s="3010"/>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7"/>
      <c r="S16" s="3010"/>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7"/>
      <c r="S17" s="3010"/>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7"/>
      <c r="S18" s="3010"/>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7"/>
      <c r="S19" s="3010"/>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7"/>
      <c r="S20" s="3010"/>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7"/>
      <c r="S22" s="3010"/>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7"/>
      <c r="S23" s="3010"/>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7"/>
      <c r="S24" s="3010"/>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7"/>
      <c r="S25" s="3010"/>
    </row>
    <row r="26" spans="1:31" ht="6" customHeight="1"/>
    <row r="27" spans="1:31" ht="14" customHeight="1">
      <c r="A27" s="98" t="s">
        <v>689</v>
      </c>
      <c r="B27" s="99" t="s">
        <v>6632</v>
      </c>
      <c r="C27" s="100"/>
      <c r="D27" s="66"/>
      <c r="E27" s="66"/>
      <c r="F27" s="66"/>
      <c r="G27" s="66"/>
      <c r="I27" s="891"/>
      <c r="J27" s="891"/>
      <c r="K27" s="891"/>
      <c r="L27" s="686"/>
      <c r="M27" s="686"/>
      <c r="O27" s="101" t="s">
        <v>1731</v>
      </c>
      <c r="P27" s="4201"/>
      <c r="Q27" s="420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1"/>
      <c r="Q34" s="4202"/>
    </row>
    <row r="35" spans="1:31" ht="12.75" customHeight="1">
      <c r="A35" s="2"/>
      <c r="B35" s="108" t="s">
        <v>6640</v>
      </c>
      <c r="C35" s="4"/>
      <c r="D35" s="4"/>
      <c r="E35" s="887"/>
      <c r="F35" s="887"/>
      <c r="H35" s="887"/>
      <c r="J35" s="3040" t="s">
        <v>6464</v>
      </c>
      <c r="K35" s="3041"/>
      <c r="L35" s="3042"/>
      <c r="M35" s="147" t="s">
        <v>1647</v>
      </c>
      <c r="N35" s="4192"/>
      <c r="O35" s="4193"/>
      <c r="P35" s="4193"/>
      <c r="Q35" s="4194"/>
    </row>
    <row r="36" spans="1:31" ht="12.75" customHeight="1">
      <c r="A36" s="2"/>
      <c r="B36" s="108" t="s">
        <v>6639</v>
      </c>
      <c r="C36" s="4"/>
      <c r="D36" s="4"/>
      <c r="E36" s="887"/>
      <c r="F36" s="887"/>
      <c r="G36" s="1664"/>
      <c r="H36" s="887"/>
      <c r="J36" s="3040" t="s">
        <v>6465</v>
      </c>
      <c r="K36" s="3041"/>
      <c r="L36" s="3042"/>
      <c r="M36" s="147" t="s">
        <v>1647</v>
      </c>
      <c r="N36" s="4192"/>
      <c r="O36" s="4193"/>
      <c r="P36" s="4193"/>
      <c r="Q36" s="4194"/>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01"/>
      <c r="Q40" s="4202"/>
    </row>
    <row r="41" spans="1:31" ht="1.5" customHeight="1"/>
    <row r="42" spans="1:31" ht="12" customHeight="1">
      <c r="A42" s="110" t="s">
        <v>1841</v>
      </c>
      <c r="B42" s="4195" t="s">
        <v>3783</v>
      </c>
      <c r="C42" s="4195"/>
      <c r="D42" s="4195"/>
      <c r="E42" s="4195"/>
      <c r="F42" s="4195"/>
      <c r="G42" s="4195"/>
      <c r="H42" s="4195"/>
      <c r="I42" s="4195"/>
      <c r="J42" s="4195"/>
      <c r="K42" s="115"/>
      <c r="L42" s="347" t="s">
        <v>2580</v>
      </c>
      <c r="M42" s="1203">
        <v>2</v>
      </c>
      <c r="N42" s="108" t="s">
        <v>4020</v>
      </c>
      <c r="P42" s="4347"/>
      <c r="Q42" s="4357"/>
    </row>
    <row r="43" spans="1:31" ht="12" customHeight="1">
      <c r="A43" s="110"/>
      <c r="B43" s="4195"/>
      <c r="C43" s="4195"/>
      <c r="D43" s="4195"/>
      <c r="E43" s="4195"/>
      <c r="F43" s="4195"/>
      <c r="G43" s="4195"/>
      <c r="H43" s="4195"/>
      <c r="I43" s="4195"/>
      <c r="J43" s="4195"/>
      <c r="K43" s="115"/>
      <c r="L43" s="347" t="s">
        <v>3787</v>
      </c>
      <c r="M43" s="1204">
        <v>4</v>
      </c>
      <c r="O43" s="111"/>
      <c r="P43" s="4348"/>
      <c r="Q43" s="4358"/>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8"/>
      <c r="M50" s="4219"/>
      <c r="N50" s="4219"/>
      <c r="O50" s="4219"/>
      <c r="P50" s="4219"/>
      <c r="Q50" s="4297"/>
    </row>
    <row r="51" spans="1:31" ht="12.75" customHeight="1">
      <c r="A51" s="112"/>
      <c r="B51" s="372" t="s">
        <v>1448</v>
      </c>
      <c r="C51" s="4195" t="s">
        <v>3793</v>
      </c>
      <c r="D51" s="4195"/>
      <c r="E51" s="4195"/>
      <c r="F51" s="4195"/>
      <c r="G51" s="4195"/>
      <c r="H51" s="4195"/>
      <c r="I51" s="4195"/>
      <c r="J51" s="4195"/>
      <c r="K51" s="4195"/>
      <c r="L51" s="4195"/>
      <c r="M51" s="413"/>
      <c r="N51" s="108" t="s">
        <v>4025</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3945</v>
      </c>
      <c r="D59" s="103"/>
      <c r="E59" s="103"/>
      <c r="F59" s="103"/>
      <c r="L59" s="48" t="s">
        <v>1843</v>
      </c>
      <c r="M59" s="4345"/>
      <c r="N59" s="4346"/>
      <c r="O59" s="4346"/>
      <c r="P59" s="3209"/>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238"/>
      <c r="F65" s="4238"/>
      <c r="G65" s="4238"/>
      <c r="H65" s="48" t="s">
        <v>1448</v>
      </c>
      <c r="I65" s="1772"/>
      <c r="J65" s="4238"/>
      <c r="K65" s="4238"/>
      <c r="L65" s="4238"/>
      <c r="M65" s="48" t="s">
        <v>481</v>
      </c>
      <c r="N65" s="1772"/>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8"/>
      <c r="N77" s="4219"/>
      <c r="O77" s="4219"/>
      <c r="P77" s="4220"/>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3948</v>
      </c>
      <c r="D84" s="4195"/>
      <c r="E84" s="4195"/>
      <c r="F84" s="4195"/>
      <c r="G84" s="4195"/>
      <c r="H84" s="4195"/>
      <c r="I84" s="4195"/>
      <c r="J84" s="4195"/>
      <c r="K84" s="4195"/>
      <c r="L84" s="4195"/>
      <c r="M84" s="4195"/>
      <c r="N84" s="419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 customHeight="1">
      <c r="A92" s="2" t="s">
        <v>720</v>
      </c>
      <c r="B92" s="2" t="s">
        <v>2424</v>
      </c>
      <c r="C92" s="33"/>
      <c r="D92" s="887"/>
      <c r="E92" s="887"/>
      <c r="F92" s="887"/>
      <c r="G92" s="887"/>
      <c r="H92" s="887"/>
      <c r="I92" s="887"/>
      <c r="J92" s="887"/>
      <c r="K92" s="887"/>
      <c r="L92" s="887"/>
      <c r="M92" s="887"/>
      <c r="N92" s="858" t="s">
        <v>6531</v>
      </c>
      <c r="O92" s="101" t="s">
        <v>1731</v>
      </c>
      <c r="P92" s="4201"/>
      <c r="Q92" s="4202"/>
      <c r="R92" s="860" t="s">
        <v>6518</v>
      </c>
    </row>
    <row r="93" spans="1:31" ht="6.5" customHeight="1"/>
    <row r="94" spans="1:31">
      <c r="A94" s="40" t="s">
        <v>1841</v>
      </c>
      <c r="B94" s="29" t="s">
        <v>6185</v>
      </c>
      <c r="D94" s="103"/>
      <c r="E94" s="103"/>
      <c r="F94" s="103"/>
      <c r="G94" s="103"/>
      <c r="H94" s="103"/>
      <c r="I94" s="35"/>
      <c r="J94" s="35"/>
      <c r="K94" s="48" t="s">
        <v>1841</v>
      </c>
      <c r="L94" s="4240"/>
      <c r="M94" s="4240"/>
      <c r="N94" s="4240"/>
      <c r="O94" s="4240"/>
      <c r="P94" s="4241"/>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 customHeight="1">
      <c r="A130" s="2" t="s">
        <v>280</v>
      </c>
      <c r="B130" s="2" t="s">
        <v>2425</v>
      </c>
      <c r="C130" s="2"/>
      <c r="D130" s="887"/>
      <c r="E130" s="887"/>
      <c r="F130" s="887"/>
      <c r="G130" s="887"/>
      <c r="H130" s="887"/>
      <c r="I130" s="887"/>
      <c r="J130" s="887"/>
      <c r="K130" s="887"/>
      <c r="N130" s="858" t="s">
        <v>6531</v>
      </c>
      <c r="O130" s="101" t="s">
        <v>1731</v>
      </c>
      <c r="P130" s="4201"/>
      <c r="Q130" s="4202"/>
      <c r="R130" s="860" t="s">
        <v>6518</v>
      </c>
    </row>
    <row r="131" spans="1:31" ht="12" customHeight="1">
      <c r="A131" s="40" t="s">
        <v>1841</v>
      </c>
      <c r="B131" s="113" t="s">
        <v>1614</v>
      </c>
      <c r="C131" s="29" t="s">
        <v>6533</v>
      </c>
      <c r="D131" s="29"/>
      <c r="E131" s="29"/>
      <c r="F131" s="29"/>
      <c r="G131" s="29"/>
      <c r="K131" s="29" t="s">
        <v>2460</v>
      </c>
      <c r="M131" s="4304"/>
      <c r="N131" s="4305"/>
      <c r="O131" s="49" t="s">
        <v>1614</v>
      </c>
      <c r="P131" s="74"/>
      <c r="Q131" s="417"/>
    </row>
    <row r="132" spans="1:31" ht="12" customHeight="1">
      <c r="A132" s="40"/>
      <c r="B132" s="113" t="s">
        <v>1615</v>
      </c>
      <c r="C132" s="29" t="s">
        <v>4054</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6" t="s">
        <v>6840</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6191</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5"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3232</v>
      </c>
      <c r="C142" s="4195"/>
      <c r="D142" s="4195"/>
      <c r="E142" s="4195"/>
      <c r="F142" s="4195"/>
      <c r="G142" s="4195"/>
      <c r="H142" s="4195"/>
      <c r="I142" s="4195"/>
      <c r="J142" s="4195"/>
      <c r="K142" s="4195"/>
      <c r="L142" s="4195"/>
      <c r="M142" s="4195"/>
      <c r="N142" s="4195"/>
      <c r="O142" s="128" t="s">
        <v>1841</v>
      </c>
      <c r="P142" s="894"/>
      <c r="Q142" s="893"/>
    </row>
    <row r="143" spans="1:31" ht="22.25" customHeight="1">
      <c r="A143" s="110" t="s">
        <v>1843</v>
      </c>
      <c r="B143" s="4195" t="s">
        <v>3798</v>
      </c>
      <c r="C143" s="4195"/>
      <c r="D143" s="4195"/>
      <c r="E143" s="4195"/>
      <c r="F143" s="4195"/>
      <c r="G143" s="4195"/>
      <c r="H143" s="4195"/>
      <c r="I143" s="4195"/>
      <c r="J143" s="4195"/>
      <c r="K143" s="4195"/>
      <c r="L143" s="4195"/>
      <c r="M143" s="4195"/>
      <c r="N143" s="4195"/>
      <c r="O143" s="128" t="s">
        <v>1843</v>
      </c>
      <c r="P143" s="431"/>
      <c r="Q143" s="422"/>
    </row>
    <row r="144" spans="1:31" ht="22.25" customHeight="1">
      <c r="A144" s="110" t="s">
        <v>698</v>
      </c>
      <c r="B144" s="4195" t="s">
        <v>3233</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3831</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5"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 customHeight="1">
      <c r="A151" s="23" t="s">
        <v>342</v>
      </c>
      <c r="B151" s="3596" t="s">
        <v>2427</v>
      </c>
      <c r="C151" s="3596"/>
      <c r="D151" s="3596"/>
      <c r="E151" s="236"/>
      <c r="N151" s="858" t="s">
        <v>6531</v>
      </c>
      <c r="O151" s="101" t="s">
        <v>1731</v>
      </c>
      <c r="P151" s="4201"/>
      <c r="Q151" s="4202"/>
      <c r="R151" s="860" t="s">
        <v>6518</v>
      </c>
    </row>
    <row r="152" spans="1:44" customFormat="1" ht="11.7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3234</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3305</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5"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 customHeight="1">
      <c r="A169" s="2" t="s">
        <v>343</v>
      </c>
      <c r="B169" s="2" t="s">
        <v>2428</v>
      </c>
      <c r="C169" s="2"/>
      <c r="D169" s="887"/>
      <c r="E169" s="114"/>
      <c r="F169" s="236"/>
      <c r="G169" s="887"/>
      <c r="J169" s="457"/>
      <c r="K169" s="457"/>
      <c r="L169" s="457"/>
      <c r="M169" s="457"/>
      <c r="N169" s="858" t="s">
        <v>6531</v>
      </c>
      <c r="O169" s="101" t="s">
        <v>1731</v>
      </c>
      <c r="P169" s="4201"/>
      <c r="Q169" s="4202"/>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3239</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25" customHeight="1">
      <c r="B176" s="891"/>
      <c r="C176" s="887"/>
      <c r="D176" s="887"/>
      <c r="E176" s="887"/>
      <c r="F176" s="887"/>
      <c r="G176" s="887"/>
      <c r="H176" s="887"/>
      <c r="I176" s="887"/>
      <c r="J176" s="887"/>
      <c r="K176" s="887"/>
      <c r="L176" s="887"/>
      <c r="M176" s="887"/>
      <c r="Q176" s="686"/>
    </row>
    <row r="177" spans="1:44" ht="14" customHeight="1">
      <c r="A177" s="2" t="s">
        <v>344</v>
      </c>
      <c r="B177" s="4" t="s">
        <v>2429</v>
      </c>
      <c r="C177" s="4"/>
      <c r="D177" s="66"/>
      <c r="E177" s="66"/>
      <c r="F177" s="66"/>
      <c r="G177" s="887"/>
      <c r="H177" s="887"/>
      <c r="I177" s="1544"/>
      <c r="J177" s="887"/>
      <c r="K177" s="887"/>
      <c r="L177" s="887"/>
      <c r="M177" s="887"/>
      <c r="N177" s="858" t="s">
        <v>6531</v>
      </c>
      <c r="O177" s="101" t="s">
        <v>1731</v>
      </c>
      <c r="P177" s="4201"/>
      <c r="Q177" s="4202"/>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7"/>
      <c r="Q179" s="1288"/>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 customHeight="1">
      <c r="A189" s="2" t="s">
        <v>1604</v>
      </c>
      <c r="B189" s="2" t="s">
        <v>2430</v>
      </c>
      <c r="C189" s="89"/>
      <c r="D189" s="887"/>
      <c r="E189" s="887"/>
      <c r="F189" s="887"/>
      <c r="G189" s="887"/>
      <c r="H189" s="887"/>
      <c r="I189" s="887"/>
      <c r="J189" s="887"/>
      <c r="K189" s="887"/>
      <c r="L189" s="887"/>
      <c r="M189" s="887"/>
      <c r="O189" s="101" t="s">
        <v>1731</v>
      </c>
      <c r="P189" s="4201"/>
      <c r="Q189" s="420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2" t="s">
        <v>1646</v>
      </c>
      <c r="L192" s="4224"/>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5" t="s">
        <v>1646</v>
      </c>
      <c r="L193" s="4356"/>
      <c r="Q193" s="436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1" t="s">
        <v>6192</v>
      </c>
      <c r="D194" s="4362"/>
      <c r="E194" s="4362"/>
      <c r="F194" s="4362"/>
      <c r="G194" s="4362"/>
      <c r="H194" s="4362"/>
      <c r="I194" s="4362"/>
      <c r="J194" s="4362"/>
      <c r="K194" s="4362"/>
      <c r="L194" s="4362"/>
      <c r="M194" s="4362"/>
      <c r="N194" s="4362"/>
      <c r="O194" s="4363"/>
      <c r="Q194" s="436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9" t="s">
        <v>1646</v>
      </c>
      <c r="L195" s="4350"/>
      <c r="M195" s="4350"/>
      <c r="N195" s="435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47</v>
      </c>
      <c r="P197" s="4229" t="s">
        <v>3854</v>
      </c>
      <c r="Q197" s="433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5" t="s">
        <v>950</v>
      </c>
      <c r="D199" s="4336"/>
      <c r="E199" s="4336"/>
      <c r="F199" s="4336"/>
      <c r="G199" s="4337"/>
      <c r="H199" s="48" t="s">
        <v>1963</v>
      </c>
      <c r="I199" s="4338" t="s">
        <v>3400</v>
      </c>
      <c r="J199" s="4339"/>
      <c r="K199" s="4339"/>
      <c r="L199" s="4339"/>
      <c r="M199" s="4339"/>
      <c r="N199" s="4339"/>
      <c r="O199" s="434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2" t="s">
        <v>950</v>
      </c>
      <c r="D200" s="4353"/>
      <c r="E200" s="4353"/>
      <c r="F200" s="4353"/>
      <c r="G200" s="4354"/>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2" t="s">
        <v>950</v>
      </c>
      <c r="D201" s="4353"/>
      <c r="E201" s="4353"/>
      <c r="F201" s="4353"/>
      <c r="G201" s="4354"/>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8" t="s">
        <v>950</v>
      </c>
      <c r="D202" s="4289"/>
      <c r="E202" s="4289"/>
      <c r="F202" s="4289"/>
      <c r="G202" s="4290"/>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5" t="s">
        <v>6743</v>
      </c>
      <c r="D209" s="4195"/>
      <c r="E209" s="4195"/>
      <c r="F209" s="4195"/>
      <c r="G209" s="4195"/>
      <c r="H209" s="4195"/>
      <c r="I209" s="4195"/>
      <c r="J209" s="4195"/>
      <c r="K209" s="4195"/>
      <c r="L209" s="4195"/>
      <c r="M209" s="4195"/>
      <c r="N209" s="419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 customHeight="1">
      <c r="A217" s="2" t="s">
        <v>2495</v>
      </c>
      <c r="B217" s="2" t="s">
        <v>6112</v>
      </c>
      <c r="C217" s="33"/>
      <c r="D217" s="887"/>
      <c r="E217" s="887"/>
      <c r="F217" s="887"/>
      <c r="G217" s="887"/>
      <c r="H217" s="887"/>
      <c r="I217" s="887"/>
      <c r="J217" s="887"/>
      <c r="K217" s="396" t="s">
        <v>6739</v>
      </c>
      <c r="L217" s="1326" t="str">
        <f>'Part I-Project Identification'!$P$25</f>
        <v>Yes</v>
      </c>
      <c r="M217" s="887"/>
      <c r="O217" s="101" t="s">
        <v>1731</v>
      </c>
      <c r="P217" s="4201"/>
      <c r="Q217" s="4202"/>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8"/>
      <c r="C220" s="4339"/>
      <c r="D220" s="4339"/>
      <c r="E220" s="4339"/>
      <c r="F220" s="4339"/>
      <c r="G220" s="4339"/>
      <c r="H220" s="4339"/>
      <c r="I220" s="4339"/>
      <c r="J220" s="1972"/>
      <c r="K220" s="4338"/>
      <c r="L220" s="4339"/>
      <c r="M220" s="4339"/>
      <c r="N220" s="4339"/>
      <c r="O220" s="4339"/>
      <c r="P220" s="4339"/>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5" t="s">
        <v>6114</v>
      </c>
      <c r="C229" s="4195"/>
      <c r="D229" s="4195"/>
      <c r="E229" s="4195"/>
      <c r="F229" s="4195"/>
      <c r="G229" s="4195"/>
      <c r="H229" s="4195"/>
      <c r="I229" s="4195"/>
      <c r="J229" s="4195"/>
      <c r="K229" s="4195"/>
      <c r="L229" s="4195"/>
      <c r="M229" s="4195"/>
      <c r="N229" s="419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 customHeight="1">
      <c r="A236" s="2" t="s">
        <v>2080</v>
      </c>
      <c r="B236" s="4" t="s">
        <v>3950</v>
      </c>
      <c r="C236" s="4"/>
      <c r="D236" s="66"/>
      <c r="E236" s="66"/>
      <c r="F236" s="66"/>
      <c r="G236" s="66"/>
      <c r="H236" s="887"/>
      <c r="I236" s="887"/>
      <c r="J236" s="887"/>
      <c r="K236" s="887"/>
      <c r="L236" s="669"/>
      <c r="M236" s="1262"/>
      <c r="O236" s="101" t="s">
        <v>1731</v>
      </c>
      <c r="P236" s="4201"/>
      <c r="Q236" s="420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5" customHeight="1">
      <c r="A238" s="40" t="s">
        <v>1841</v>
      </c>
      <c r="B238" s="29" t="s">
        <v>1192</v>
      </c>
      <c r="D238" s="35"/>
      <c r="E238" s="29"/>
      <c r="F238" s="29"/>
      <c r="J238" s="48" t="s">
        <v>1841</v>
      </c>
      <c r="K238" s="4218" t="s">
        <v>1646</v>
      </c>
      <c r="L238" s="4219"/>
      <c r="M238" s="4219"/>
      <c r="N238" s="4219"/>
      <c r="O238" s="4297"/>
      <c r="P238" s="4326" t="s">
        <v>1646</v>
      </c>
      <c r="Q238" s="432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5" t="s">
        <v>6194</v>
      </c>
      <c r="C239" s="4195"/>
      <c r="D239" s="4195"/>
      <c r="E239" s="4195"/>
      <c r="F239" s="4195"/>
      <c r="G239" s="4195"/>
      <c r="H239" s="4195"/>
      <c r="I239" s="4195"/>
      <c r="J239" s="4195"/>
      <c r="K239" s="4195"/>
      <c r="L239" s="4195"/>
      <c r="M239" s="4195"/>
      <c r="N239" s="4195"/>
      <c r="O239" s="428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4"/>
      <c r="L240" s="4285"/>
      <c r="M240" s="4285"/>
      <c r="N240" s="4285"/>
      <c r="O240" s="4286"/>
      <c r="P240" s="4280"/>
      <c r="Q240" s="428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5" t="s">
        <v>6205</v>
      </c>
      <c r="D243" s="4195"/>
      <c r="E243" s="4195"/>
      <c r="F243" s="4195"/>
      <c r="G243" s="4195"/>
      <c r="H243" s="4195"/>
      <c r="I243" s="4195"/>
      <c r="J243" s="4195"/>
      <c r="K243" s="4195"/>
      <c r="L243" s="4195"/>
      <c r="M243" s="4195"/>
      <c r="N243" s="419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5" t="s">
        <v>6206</v>
      </c>
      <c r="D244" s="4195"/>
      <c r="E244" s="4195"/>
      <c r="F244" s="4195"/>
      <c r="G244" s="4195"/>
      <c r="H244" s="4195"/>
      <c r="I244" s="4195"/>
      <c r="J244" s="4195"/>
      <c r="K244" s="4195"/>
      <c r="L244" s="4195"/>
      <c r="M244" s="4195"/>
      <c r="N244" s="419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5" t="s">
        <v>3244</v>
      </c>
      <c r="C246" s="4225"/>
      <c r="D246" s="4225"/>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5"/>
      <c r="C247" s="4225"/>
      <c r="D247" s="4225"/>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5"/>
      <c r="C248" s="4225"/>
      <c r="D248" s="4225"/>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5"/>
      <c r="C249" s="4225"/>
      <c r="D249" s="4225"/>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5" t="s">
        <v>6501</v>
      </c>
      <c r="F250" s="4195"/>
      <c r="G250" s="4195"/>
      <c r="H250" s="4195"/>
      <c r="I250" s="4195"/>
      <c r="J250" s="4195"/>
      <c r="K250" s="4195"/>
      <c r="L250" s="4195"/>
      <c r="M250" s="4195"/>
      <c r="N250" s="419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 customHeight="1">
      <c r="A256" s="2" t="s">
        <v>3369</v>
      </c>
      <c r="B256" s="4" t="s">
        <v>2431</v>
      </c>
      <c r="C256" s="4"/>
      <c r="D256" s="66"/>
      <c r="E256" s="66"/>
      <c r="F256" s="66"/>
      <c r="G256" s="66"/>
      <c r="H256" s="887"/>
      <c r="I256" s="887"/>
      <c r="J256" s="887"/>
      <c r="K256" s="887"/>
      <c r="L256" s="887"/>
      <c r="M256" s="887"/>
      <c r="O256" s="101" t="s">
        <v>1731</v>
      </c>
      <c r="P256" s="4201"/>
      <c r="Q256" s="420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5" t="s">
        <v>4029</v>
      </c>
      <c r="D257" s="4195"/>
      <c r="E257" s="4195"/>
      <c r="F257" s="4195"/>
      <c r="G257" s="4195"/>
      <c r="H257" s="4195"/>
      <c r="I257" s="4195"/>
      <c r="J257" s="4195"/>
      <c r="K257" s="4195"/>
      <c r="L257" s="4195"/>
      <c r="M257" s="4195"/>
      <c r="N257" s="419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5" t="s">
        <v>4055</v>
      </c>
      <c r="D260" s="4195"/>
      <c r="E260" s="4195"/>
      <c r="F260" s="4195"/>
      <c r="G260" s="4195"/>
      <c r="H260" s="4195"/>
      <c r="I260" s="4195"/>
      <c r="J260" s="4195"/>
      <c r="K260" s="4195"/>
      <c r="L260" s="4195"/>
      <c r="M260" s="4195"/>
      <c r="N260" s="4195"/>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5" t="s">
        <v>6119</v>
      </c>
      <c r="C262" s="4195"/>
      <c r="D262" s="4195"/>
      <c r="E262" s="4195"/>
      <c r="F262" s="4195"/>
      <c r="G262" s="4195"/>
      <c r="H262" s="4195"/>
      <c r="I262" s="4195"/>
      <c r="J262" s="4195"/>
      <c r="K262" s="4195"/>
      <c r="L262" s="4195"/>
      <c r="M262" s="4195"/>
      <c r="N262" s="419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25"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25" customHeight="1">
      <c r="A266" s="4206"/>
      <c r="B266" s="4207"/>
      <c r="C266" s="4207"/>
      <c r="D266" s="4207"/>
      <c r="E266" s="4207"/>
      <c r="F266" s="4207"/>
      <c r="G266" s="4207"/>
      <c r="H266" s="4207"/>
      <c r="I266" s="4207"/>
      <c r="J266" s="4207"/>
      <c r="K266" s="4207"/>
      <c r="L266" s="4207"/>
      <c r="M266" s="4207"/>
      <c r="N266" s="4207"/>
      <c r="O266" s="4207"/>
      <c r="P266" s="4207"/>
      <c r="Q266" s="420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 customHeight="1">
      <c r="A268" s="2" t="s">
        <v>3370</v>
      </c>
      <c r="B268" s="2" t="s">
        <v>2432</v>
      </c>
      <c r="C268" s="2"/>
      <c r="D268" s="887"/>
      <c r="E268" s="887"/>
      <c r="F268" s="887"/>
      <c r="G268" s="887"/>
      <c r="H268" s="887"/>
      <c r="I268" s="887"/>
      <c r="J268" s="887"/>
      <c r="K268" s="887"/>
      <c r="L268" s="887"/>
      <c r="M268" s="887"/>
      <c r="O268" s="101" t="s">
        <v>1731</v>
      </c>
      <c r="P268" s="4201"/>
      <c r="Q268" s="420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5" t="s">
        <v>3846</v>
      </c>
      <c r="D271" s="4195"/>
      <c r="E271" s="4195"/>
      <c r="F271" s="4195"/>
      <c r="G271" s="4195"/>
      <c r="H271" s="4195"/>
      <c r="I271" s="4195"/>
      <c r="J271" s="4195"/>
      <c r="K271" s="4195"/>
      <c r="L271" s="4195"/>
      <c r="M271" s="4195"/>
      <c r="N271" s="419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6" t="s">
        <v>3336</v>
      </c>
      <c r="M273" s="4227"/>
      <c r="N273" s="4227"/>
      <c r="O273" s="4227"/>
      <c r="P273" s="422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 customHeight="1">
      <c r="A281" s="2" t="s">
        <v>3368</v>
      </c>
      <c r="B281" s="2" t="s">
        <v>2433</v>
      </c>
      <c r="C281" s="116"/>
      <c r="D281" s="890"/>
      <c r="E281" s="887"/>
      <c r="F281" s="887"/>
      <c r="G281" s="887"/>
      <c r="H281" s="887"/>
      <c r="I281" s="887"/>
      <c r="J281" s="887"/>
      <c r="K281" s="887"/>
      <c r="L281" s="887"/>
      <c r="M281" s="887"/>
      <c r="O281" s="101" t="s">
        <v>1731</v>
      </c>
      <c r="P281" s="4201"/>
      <c r="Q281" s="420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5" t="s">
        <v>6655</v>
      </c>
      <c r="D284" s="4195"/>
      <c r="E284" s="4195"/>
      <c r="F284" s="4195"/>
      <c r="G284" s="4195"/>
      <c r="H284" s="4195"/>
      <c r="I284" s="4195"/>
      <c r="J284" s="4195"/>
      <c r="K284" s="4195"/>
      <c r="L284" s="4195"/>
      <c r="M284" s="4195"/>
      <c r="N284" s="4195"/>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5" t="s">
        <v>6656</v>
      </c>
      <c r="D285" s="4195"/>
      <c r="E285" s="4195"/>
      <c r="F285" s="4195"/>
      <c r="G285" s="4195"/>
      <c r="H285" s="4195"/>
      <c r="I285" s="4195"/>
      <c r="J285" s="4195"/>
      <c r="K285" s="4195"/>
      <c r="L285" s="4195"/>
      <c r="M285" s="4195"/>
      <c r="N285" s="419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5" t="s">
        <v>6200</v>
      </c>
      <c r="D286" s="4195"/>
      <c r="E286" s="4195"/>
      <c r="F286" s="4195"/>
      <c r="G286" s="4195"/>
      <c r="H286" s="4195"/>
      <c r="I286" s="4195"/>
      <c r="J286" s="4195"/>
      <c r="K286" s="4195"/>
      <c r="L286" s="4195"/>
      <c r="M286" s="4195"/>
      <c r="N286" s="419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5" t="s">
        <v>6203</v>
      </c>
      <c r="E288" s="4195"/>
      <c r="F288" s="4195"/>
      <c r="G288" s="4195"/>
      <c r="H288" s="4195"/>
      <c r="I288" s="108"/>
      <c r="J288" s="4203" t="s">
        <v>3265</v>
      </c>
      <c r="K288" s="4229"/>
      <c r="L288" s="4229"/>
      <c r="M288" s="4333" t="s">
        <v>3246</v>
      </c>
      <c r="N288" s="4333"/>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5"/>
      <c r="E289" s="4195"/>
      <c r="F289" s="4195"/>
      <c r="G289" s="4195"/>
      <c r="H289" s="4195"/>
      <c r="I289" s="248"/>
      <c r="J289" s="4229"/>
      <c r="K289" s="4229"/>
      <c r="L289" s="4229"/>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195"/>
      <c r="E290" s="4195"/>
      <c r="F290" s="4195"/>
      <c r="G290" s="4195"/>
      <c r="H290" s="4195"/>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5" t="s">
        <v>6204</v>
      </c>
      <c r="E291" s="4195"/>
      <c r="F291" s="4195"/>
      <c r="G291" s="4195"/>
      <c r="H291" s="4195"/>
      <c r="I291" s="370" t="s">
        <v>3387</v>
      </c>
      <c r="J291" s="144"/>
      <c r="K291" s="1596"/>
      <c r="L291" s="795" t="str">
        <f>IF(K291&lt;M291,"Check!!!","")</f>
        <v/>
      </c>
      <c r="M291" s="1598">
        <f>ROUNDUP(K290*'Part VII-Threshold Criteria OLD'!N291,0)</f>
        <v>0</v>
      </c>
      <c r="N291" s="1205">
        <f>'DCA Underwriting Assumptions'!$Q$123</f>
        <v>0.4</v>
      </c>
      <c r="O291" s="48" t="s">
        <v>1964</v>
      </c>
      <c r="P291" s="4232"/>
      <c r="Q291" s="423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5"/>
      <c r="E292" s="4195"/>
      <c r="F292" s="4195"/>
      <c r="G292" s="4195"/>
      <c r="H292" s="4195"/>
      <c r="O292" s="33"/>
      <c r="P292" s="4233"/>
      <c r="Q292" s="423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5" t="s">
        <v>6740</v>
      </c>
      <c r="D293" s="4195"/>
      <c r="E293" s="4195"/>
      <c r="F293" s="4195"/>
      <c r="G293" s="4195"/>
      <c r="H293" s="4195"/>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5"/>
      <c r="D294" s="4195"/>
      <c r="E294" s="4195"/>
      <c r="F294" s="4195"/>
      <c r="G294" s="4195"/>
      <c r="H294" s="419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5" t="s">
        <v>6718</v>
      </c>
      <c r="C297" s="4195"/>
      <c r="D297" s="4195"/>
      <c r="E297" s="4195"/>
      <c r="F297" s="4195"/>
      <c r="G297" s="4195"/>
      <c r="H297" s="4195"/>
      <c r="I297" s="4195"/>
      <c r="J297" s="4195"/>
      <c r="K297" s="4195"/>
      <c r="L297" s="4195"/>
      <c r="M297" s="4195"/>
      <c r="N297" s="419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7"/>
      <c r="M298" s="4278"/>
      <c r="N298" s="4278"/>
      <c r="O298" s="4278"/>
      <c r="P298" s="4278"/>
      <c r="Q298" s="4279"/>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5" t="s">
        <v>6657</v>
      </c>
      <c r="D299" s="4195"/>
      <c r="E299" s="4195"/>
      <c r="F299" s="4195"/>
      <c r="G299" s="4195"/>
      <c r="H299" s="4195"/>
      <c r="I299" s="4195"/>
      <c r="J299" s="4195"/>
      <c r="K299" s="4195"/>
      <c r="L299" s="4195"/>
      <c r="M299" s="4195"/>
      <c r="N299" s="4195"/>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5" t="s">
        <v>3832</v>
      </c>
      <c r="D300" s="4195"/>
      <c r="E300" s="4195"/>
      <c r="F300" s="4195"/>
      <c r="G300" s="4195"/>
      <c r="H300" s="4195"/>
      <c r="I300" s="4195"/>
      <c r="J300" s="4195"/>
      <c r="K300" s="4195"/>
      <c r="L300" s="4195"/>
      <c r="M300" s="4195"/>
      <c r="N300" s="4195"/>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5" t="s">
        <v>3168</v>
      </c>
      <c r="D301" s="4195"/>
      <c r="E301" s="4195"/>
      <c r="F301" s="4195"/>
      <c r="G301" s="4195"/>
      <c r="H301" s="4195"/>
      <c r="I301" s="4195"/>
      <c r="J301" s="4195"/>
      <c r="K301" s="4195"/>
      <c r="L301" s="4195"/>
      <c r="M301" s="4195"/>
      <c r="N301" s="4195"/>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5" t="s">
        <v>3169</v>
      </c>
      <c r="D302" s="4195"/>
      <c r="E302" s="4195"/>
      <c r="F302" s="4195"/>
      <c r="G302" s="4195"/>
      <c r="H302" s="4195"/>
      <c r="I302" s="4195"/>
      <c r="J302" s="4195"/>
      <c r="K302" s="4195"/>
      <c r="L302" s="4195"/>
      <c r="M302" s="4195"/>
      <c r="N302" s="4195"/>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 customHeight="1">
      <c r="A307" s="2" t="s">
        <v>3371</v>
      </c>
      <c r="B307" s="4" t="s">
        <v>2434</v>
      </c>
      <c r="C307" s="4"/>
      <c r="D307" s="4"/>
      <c r="E307" s="4"/>
      <c r="F307" s="4"/>
      <c r="G307" s="4"/>
      <c r="H307" s="887"/>
      <c r="I307" s="887"/>
      <c r="J307" s="887"/>
      <c r="K307" s="887"/>
      <c r="L307" s="887"/>
      <c r="M307" s="887"/>
      <c r="O307" s="101" t="s">
        <v>1731</v>
      </c>
      <c r="P307" s="4328"/>
      <c r="Q307" s="4329"/>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5" customHeight="1">
      <c r="A310" s="40"/>
      <c r="B310" s="33" t="s">
        <v>3786</v>
      </c>
      <c r="E310" s="33"/>
      <c r="F310" s="33"/>
      <c r="G310" s="33"/>
      <c r="H310" s="33"/>
      <c r="I310" s="72"/>
      <c r="J310" s="48"/>
      <c r="K310" s="4218" t="s">
        <v>1646</v>
      </c>
      <c r="L310" s="4219"/>
      <c r="M310" s="4219"/>
      <c r="N310" s="4297"/>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5" t="s">
        <v>6667</v>
      </c>
      <c r="C312" s="4195"/>
      <c r="D312" s="4195"/>
      <c r="E312" s="4195"/>
      <c r="F312" s="4195"/>
      <c r="G312" s="4195"/>
      <c r="H312" s="4195"/>
      <c r="I312" s="4195"/>
      <c r="J312" s="4195"/>
      <c r="K312" s="4195"/>
      <c r="L312" s="4195"/>
      <c r="M312" s="4195"/>
      <c r="N312" s="419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5" t="s">
        <v>1066</v>
      </c>
      <c r="D315" s="4195"/>
      <c r="E315" s="4195"/>
      <c r="F315" s="4287"/>
      <c r="G315" s="3124" t="s">
        <v>1018</v>
      </c>
      <c r="H315" s="4291"/>
      <c r="I315" s="4291"/>
      <c r="J315" s="4291"/>
      <c r="K315" s="4291"/>
      <c r="L315" s="4291"/>
      <c r="M315" s="4291"/>
      <c r="N315" s="4292"/>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21" t="s">
        <v>6121</v>
      </c>
      <c r="H317" s="4221"/>
      <c r="I317" s="4221"/>
      <c r="J317" s="4221"/>
      <c r="K317" s="4221"/>
      <c r="L317" s="4221"/>
      <c r="M317" s="4221"/>
      <c r="N317" s="4221"/>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5" t="s">
        <v>6122</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5"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5" customHeight="1">
      <c r="A325" s="4206"/>
      <c r="B325" s="4207"/>
      <c r="C325" s="4207"/>
      <c r="D325" s="4207"/>
      <c r="E325" s="4207"/>
      <c r="F325" s="4207"/>
      <c r="G325" s="4207"/>
      <c r="H325" s="4207"/>
      <c r="I325" s="4207"/>
      <c r="J325" s="4207"/>
      <c r="K325" s="4207"/>
      <c r="L325" s="4207"/>
      <c r="M325" s="4207"/>
      <c r="N325" s="4207"/>
      <c r="O325" s="4207"/>
      <c r="P325" s="4207"/>
      <c r="Q325" s="420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 customHeight="1">
      <c r="A326" s="2" t="s">
        <v>3372</v>
      </c>
      <c r="B326" s="153" t="s">
        <v>6532</v>
      </c>
      <c r="C326" s="2"/>
      <c r="D326" s="887"/>
      <c r="E326" s="887"/>
      <c r="F326" s="887"/>
      <c r="G326" s="887"/>
      <c r="H326" s="887"/>
      <c r="N326" s="858" t="s">
        <v>6531</v>
      </c>
      <c r="O326" s="101" t="s">
        <v>1731</v>
      </c>
      <c r="P326" s="4201"/>
      <c r="Q326" s="4202"/>
      <c r="R326" s="860" t="s">
        <v>6518</v>
      </c>
    </row>
    <row r="327" spans="1:256" ht="11.75" customHeight="1">
      <c r="A327" s="40" t="s">
        <v>1841</v>
      </c>
      <c r="B327" s="44" t="s">
        <v>6527</v>
      </c>
      <c r="O327" s="128" t="s">
        <v>1841</v>
      </c>
      <c r="P327" s="175"/>
      <c r="Q327" s="419"/>
    </row>
    <row r="328" spans="1:256" ht="11.75" customHeight="1">
      <c r="A328" s="110" t="s">
        <v>1843</v>
      </c>
      <c r="B328" s="44" t="s">
        <v>6534</v>
      </c>
      <c r="O328" s="128" t="s">
        <v>1843</v>
      </c>
      <c r="P328" s="1759"/>
      <c r="Q328" s="687"/>
    </row>
    <row r="329" spans="1:256" ht="11.75" customHeight="1">
      <c r="A329" s="110" t="s">
        <v>698</v>
      </c>
      <c r="B329" s="44" t="s">
        <v>6535</v>
      </c>
      <c r="K329" s="231"/>
      <c r="M329" s="128" t="s">
        <v>698</v>
      </c>
      <c r="N329" s="4270" t="s">
        <v>1646</v>
      </c>
      <c r="O329" s="4271"/>
      <c r="P329" s="4272" t="s">
        <v>1646</v>
      </c>
      <c r="Q329" s="4273"/>
    </row>
    <row r="330" spans="1:256" ht="11.75" customHeight="1">
      <c r="A330" s="40" t="s">
        <v>1962</v>
      </c>
      <c r="B330" s="44" t="s">
        <v>6536</v>
      </c>
      <c r="O330" s="48" t="s">
        <v>1962</v>
      </c>
      <c r="P330" s="1400"/>
      <c r="Q330" s="1399"/>
    </row>
    <row r="331" spans="1:256" ht="11.75" customHeight="1">
      <c r="A331" s="110" t="s">
        <v>1612</v>
      </c>
      <c r="B331" s="44" t="s">
        <v>6537</v>
      </c>
      <c r="N331" s="128" t="s">
        <v>1612</v>
      </c>
      <c r="O331" s="4264" t="s">
        <v>2559</v>
      </c>
      <c r="P331" s="4265"/>
      <c r="Q331" s="4266"/>
    </row>
    <row r="332" spans="1:256" ht="11.75" customHeight="1">
      <c r="A332" s="110" t="s">
        <v>1613</v>
      </c>
      <c r="B332" s="67" t="s">
        <v>2170</v>
      </c>
      <c r="N332" s="128" t="s">
        <v>1613</v>
      </c>
      <c r="O332" s="4330" t="s">
        <v>2559</v>
      </c>
      <c r="P332" s="4331"/>
      <c r="Q332" s="4332"/>
    </row>
    <row r="333" spans="1:256" ht="11.25" customHeight="1">
      <c r="B333" s="109" t="s">
        <v>3239</v>
      </c>
      <c r="D333" s="109"/>
      <c r="E333" s="109"/>
      <c r="F333" s="109"/>
      <c r="G333" s="109"/>
      <c r="H333" s="33"/>
      <c r="I333" s="891"/>
      <c r="J333" s="891"/>
      <c r="K333" s="891"/>
      <c r="L333" s="686"/>
      <c r="M333" s="686"/>
      <c r="N333" s="686"/>
      <c r="O333" s="686"/>
      <c r="P333" s="686"/>
      <c r="Q333" s="686"/>
    </row>
    <row r="334" spans="1:256" ht="13.25"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2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5" t="s">
        <v>6685</v>
      </c>
      <c r="C341" s="4195"/>
      <c r="D341" s="4195"/>
      <c r="E341" s="4195"/>
      <c r="F341" s="4195"/>
      <c r="G341" s="4195"/>
      <c r="H341" s="4195"/>
      <c r="I341" s="4195"/>
      <c r="J341" s="4195"/>
      <c r="K341" s="4195"/>
      <c r="L341" s="4195"/>
      <c r="M341" s="4195"/>
      <c r="N341" s="4195"/>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47</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5" t="s">
        <v>6686</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20"/>
      <c r="C345" s="29" t="s">
        <v>1667</v>
      </c>
      <c r="D345" s="29"/>
      <c r="E345" s="1540">
        <f>'Part V-Revenues &amp; Expenses'!$P$67</f>
        <v>47</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5" t="s">
        <v>6687</v>
      </c>
      <c r="C346" s="4195"/>
      <c r="D346" s="4195"/>
      <c r="E346" s="4195"/>
      <c r="F346" s="4195"/>
      <c r="G346" s="4195"/>
      <c r="H346" s="4195"/>
      <c r="I346" s="4195"/>
      <c r="J346" s="4195"/>
      <c r="K346" s="4195"/>
      <c r="L346" s="4195"/>
      <c r="M346" s="4195"/>
      <c r="N346" s="4195"/>
      <c r="O346" s="128" t="s">
        <v>698</v>
      </c>
      <c r="P346" s="1813"/>
      <c r="Q346" s="1814"/>
    </row>
    <row r="347" spans="1:44" ht="14"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47</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3358</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3359</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3350</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3351</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3353</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5" t="s">
        <v>3355</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3356</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75"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3201</v>
      </c>
      <c r="G374" s="889"/>
      <c r="H374" s="889"/>
      <c r="I374" s="889"/>
      <c r="J374" s="33" t="s">
        <v>3202</v>
      </c>
      <c r="L374" s="889"/>
      <c r="M374" s="4262">
        <f>'Part II-Sources of Funds'!I6</f>
        <v>0</v>
      </c>
      <c r="N374" s="426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5"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06"/>
      <c r="B378" s="4207"/>
      <c r="C378" s="4207"/>
      <c r="D378" s="4207"/>
      <c r="E378" s="4207"/>
      <c r="F378" s="4207"/>
      <c r="G378" s="4207"/>
      <c r="H378" s="4207"/>
      <c r="I378" s="4207"/>
      <c r="J378" s="4207"/>
      <c r="K378" s="4207"/>
      <c r="L378" s="4207"/>
      <c r="M378" s="4207"/>
      <c r="N378" s="4207"/>
      <c r="O378" s="4207"/>
      <c r="P378" s="4207"/>
      <c r="Q378" s="4208"/>
    </row>
    <row r="379" spans="1:31" ht="3.5" customHeight="1">
      <c r="A379" s="686"/>
      <c r="B379" s="891"/>
      <c r="C379" s="887"/>
      <c r="D379" s="887"/>
      <c r="E379" s="887"/>
      <c r="F379" s="887"/>
      <c r="G379" s="887"/>
      <c r="H379" s="887"/>
      <c r="I379" s="887"/>
      <c r="J379" s="887"/>
      <c r="K379" s="887"/>
      <c r="L379" s="887"/>
      <c r="M379" s="887"/>
      <c r="Q379" s="686"/>
    </row>
    <row r="380" spans="1:31" ht="14" customHeight="1">
      <c r="A380" s="2" t="s">
        <v>3378</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5"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 customHeight="1">
      <c r="A391" s="2" t="s">
        <v>3379</v>
      </c>
      <c r="B391" s="4" t="s">
        <v>3938</v>
      </c>
      <c r="C391" s="4"/>
      <c r="D391" s="4"/>
      <c r="E391" s="4"/>
      <c r="F391" s="4"/>
      <c r="G391" s="4"/>
      <c r="H391" s="887"/>
      <c r="I391" s="887"/>
      <c r="J391" s="887"/>
      <c r="K391" s="887"/>
      <c r="L391" s="887"/>
      <c r="M391" s="887"/>
      <c r="O391" s="101" t="s">
        <v>1731</v>
      </c>
      <c r="P391" s="4215"/>
      <c r="Q391" s="4216"/>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5"/>
      <c r="Q395" s="4293"/>
    </row>
    <row r="396" spans="1:31" ht="12" customHeight="1">
      <c r="A396" s="40"/>
      <c r="D396" s="29" t="s">
        <v>6500</v>
      </c>
      <c r="E396" s="29"/>
      <c r="F396" s="29"/>
      <c r="G396" s="29"/>
      <c r="H396" s="29"/>
      <c r="I396" s="29"/>
      <c r="J396" s="29"/>
      <c r="K396" s="29"/>
      <c r="L396" s="29"/>
      <c r="M396" s="29"/>
      <c r="N396" s="35"/>
      <c r="O396" s="1398"/>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5" t="s">
        <v>6150</v>
      </c>
      <c r="D400" s="4195"/>
      <c r="E400" s="4195"/>
      <c r="F400" s="4195"/>
      <c r="G400" s="29" t="s">
        <v>3942</v>
      </c>
      <c r="J400" s="718"/>
      <c r="K400" s="426"/>
      <c r="M400" s="29" t="s">
        <v>6224</v>
      </c>
      <c r="P400" s="1760"/>
      <c r="Q400" s="1761"/>
    </row>
    <row r="401" spans="1:44" ht="12" customHeight="1">
      <c r="A401" s="40"/>
      <c r="C401" s="4195"/>
      <c r="D401" s="4195"/>
      <c r="E401" s="4195"/>
      <c r="F401" s="4195"/>
      <c r="G401" s="29" t="s">
        <v>6223</v>
      </c>
      <c r="J401" s="719"/>
      <c r="K401" s="427"/>
      <c r="M401" s="29" t="s">
        <v>6225</v>
      </c>
      <c r="P401" s="719"/>
      <c r="Q401" s="427"/>
    </row>
    <row r="402" spans="1:44" ht="8.25" customHeight="1">
      <c r="A402" s="40"/>
      <c r="C402" s="4195"/>
      <c r="D402" s="4195"/>
      <c r="E402" s="4195"/>
      <c r="F402" s="4195"/>
      <c r="J402" s="1533"/>
      <c r="L402" s="33"/>
      <c r="M402" s="35"/>
      <c r="N402" s="48"/>
    </row>
    <row r="403" spans="1:44" s="72" customFormat="1" ht="12.75" customHeight="1">
      <c r="A403" s="107"/>
      <c r="B403" s="153"/>
      <c r="D403" s="892"/>
      <c r="E403" s="892"/>
      <c r="F403" s="892"/>
      <c r="G403" s="892"/>
      <c r="H403" s="892"/>
      <c r="I403" s="4203" t="s">
        <v>6180</v>
      </c>
      <c r="J403" s="4203" t="s">
        <v>6181</v>
      </c>
      <c r="K403" s="4203" t="s">
        <v>6183</v>
      </c>
      <c r="L403" s="4203"/>
      <c r="M403" s="4203"/>
      <c r="N403" s="4242" t="s">
        <v>6182</v>
      </c>
      <c r="O403" s="48"/>
      <c r="P403" s="4366" t="s">
        <v>6697</v>
      </c>
      <c r="Q403" s="436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5" t="s">
        <v>6294</v>
      </c>
      <c r="D405" s="4195"/>
      <c r="E405" s="4195"/>
      <c r="F405" s="4195"/>
      <c r="G405" s="4195"/>
      <c r="H405" s="4195"/>
      <c r="I405" s="365">
        <f>K290</f>
        <v>0</v>
      </c>
      <c r="J405" s="1762"/>
      <c r="K405" s="4204"/>
      <c r="L405" s="4204"/>
      <c r="M405" s="4205"/>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5"/>
      <c r="D406" s="4195"/>
      <c r="E406" s="4195"/>
      <c r="F406" s="4195"/>
      <c r="G406" s="4195"/>
      <c r="H406" s="4195"/>
      <c r="I406" s="248"/>
      <c r="J406" s="1763"/>
      <c r="K406" s="4244"/>
      <c r="L406" s="4244"/>
      <c r="M406" s="42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4"/>
      <c r="L408" s="4204"/>
      <c r="M408" s="4205"/>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4"/>
      <c r="L409" s="4244"/>
      <c r="M409" s="42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5" t="s">
        <v>6295</v>
      </c>
      <c r="D411" s="4195"/>
      <c r="E411" s="4195"/>
      <c r="F411" s="4195"/>
      <c r="G411" s="4195"/>
      <c r="H411" s="4195"/>
      <c r="I411" s="365">
        <f>K293</f>
        <v>0</v>
      </c>
      <c r="J411" s="1762"/>
      <c r="K411" s="4204"/>
      <c r="L411" s="4204"/>
      <c r="M411" s="4205"/>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5"/>
      <c r="D412" s="4195"/>
      <c r="E412" s="4195"/>
      <c r="F412" s="4195"/>
      <c r="G412" s="4195"/>
      <c r="H412" s="4195"/>
      <c r="J412" s="1763"/>
      <c r="K412" s="4244"/>
      <c r="L412" s="4244"/>
      <c r="M412" s="42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0" t="s">
        <v>6228</v>
      </c>
      <c r="E416" s="352" t="s">
        <v>2263</v>
      </c>
      <c r="F416" s="44" t="s">
        <v>3287</v>
      </c>
      <c r="G416" s="4196"/>
      <c r="H416" s="4197"/>
      <c r="I416" s="4197"/>
      <c r="J416" s="4197"/>
      <c r="K416" s="4198"/>
      <c r="L416" s="352"/>
    </row>
    <row r="417" spans="1:31" ht="12" customHeight="1">
      <c r="B417" s="115"/>
      <c r="D417" s="4200"/>
      <c r="E417" s="352" t="s">
        <v>3939</v>
      </c>
      <c r="F417" s="44" t="s">
        <v>3940</v>
      </c>
      <c r="G417" s="4253" t="s">
        <v>3204</v>
      </c>
      <c r="H417" s="4254"/>
      <c r="I417" s="4255"/>
      <c r="J417" s="44" t="s">
        <v>3801</v>
      </c>
      <c r="K417" s="115"/>
      <c r="M417" s="4196"/>
      <c r="N417" s="4197"/>
      <c r="O417" s="4197"/>
      <c r="P417" s="4197"/>
      <c r="Q417" s="4198"/>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5" customHeight="1">
      <c r="B419" s="4246"/>
      <c r="C419" s="4247"/>
      <c r="D419" s="4247"/>
      <c r="E419" s="4247"/>
      <c r="F419" s="4247"/>
      <c r="G419" s="4247"/>
      <c r="H419" s="4247"/>
      <c r="I419" s="4247"/>
      <c r="J419" s="4247"/>
      <c r="K419" s="4247"/>
      <c r="L419" s="4247"/>
      <c r="M419" s="4247"/>
      <c r="N419" s="4247"/>
      <c r="O419" s="4247"/>
      <c r="P419" s="4247"/>
      <c r="Q419" s="4248"/>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4033</v>
      </c>
      <c r="C421" s="4195"/>
      <c r="D421" s="4195"/>
      <c r="E421" s="4195"/>
      <c r="F421" s="4195"/>
      <c r="G421" s="4195"/>
      <c r="H421" s="4195"/>
      <c r="I421" s="4195"/>
      <c r="J421" s="4195"/>
      <c r="K421" s="4195"/>
      <c r="L421" s="4195"/>
      <c r="M421" s="4195"/>
      <c r="N421" s="4195"/>
    </row>
    <row r="422" spans="1:31" s="115" customFormat="1" ht="45" customHeight="1">
      <c r="B422" s="4195" t="s">
        <v>6542</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3239</v>
      </c>
      <c r="D423" s="109"/>
      <c r="E423" s="109"/>
      <c r="F423" s="109"/>
      <c r="G423" s="109"/>
      <c r="H423" s="33"/>
      <c r="I423" s="891"/>
      <c r="J423" s="891"/>
      <c r="K423" s="891"/>
    </row>
    <row r="424" spans="1:31" ht="33.5"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5"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 customHeight="1">
      <c r="A428" s="2" t="s">
        <v>3380</v>
      </c>
      <c r="B428" s="4" t="s">
        <v>2508</v>
      </c>
      <c r="C428" s="4"/>
      <c r="D428" s="66"/>
      <c r="E428" s="887"/>
      <c r="F428" s="887"/>
      <c r="G428" s="887"/>
      <c r="H428" s="887"/>
      <c r="O428" s="101" t="s">
        <v>1731</v>
      </c>
      <c r="P428" s="4201"/>
      <c r="Q428" s="4202"/>
    </row>
    <row r="429" spans="1:31" ht="14" customHeight="1">
      <c r="B429" s="66" t="s">
        <v>3896</v>
      </c>
      <c r="C429" s="4"/>
      <c r="D429" s="66"/>
      <c r="E429" s="887"/>
      <c r="F429" s="887"/>
      <c r="G429" s="887"/>
      <c r="H429" s="887"/>
    </row>
    <row r="430" spans="1:31" s="102" customFormat="1" ht="21.75" customHeight="1">
      <c r="A430" s="110" t="s">
        <v>1841</v>
      </c>
      <c r="B430" s="4195" t="s">
        <v>3311</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3310</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20" t="s">
        <v>1614</v>
      </c>
      <c r="C432" s="4195" t="s">
        <v>3866</v>
      </c>
      <c r="D432" s="4195"/>
      <c r="E432" s="4195"/>
      <c r="F432" s="4195"/>
      <c r="G432" s="4195"/>
      <c r="H432" s="4195"/>
      <c r="I432" s="4195"/>
      <c r="J432" s="4195"/>
      <c r="K432" s="4195"/>
      <c r="L432" s="4195"/>
      <c r="M432" s="4195"/>
      <c r="N432" s="4195"/>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3868</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3869</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3312</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3917</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3918</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3951</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 customHeight="1">
      <c r="A445" s="2" t="s">
        <v>3802</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
      <c r="A456" s="44"/>
      <c r="B456" s="44"/>
      <c r="C456" s="807" t="s">
        <v>1646</v>
      </c>
      <c r="J456" s="1875" t="s">
        <v>1544</v>
      </c>
      <c r="N456" s="808"/>
      <c r="O456" s="1875" t="s">
        <v>4045</v>
      </c>
      <c r="P456" s="1876"/>
      <c r="R456" s="44"/>
    </row>
    <row r="457" spans="1:18" s="807" customFormat="1" ht="11">
      <c r="A457" s="44"/>
      <c r="B457" s="44"/>
      <c r="C457" s="1877" t="s">
        <v>1312</v>
      </c>
      <c r="J457" s="1875" t="s">
        <v>1953</v>
      </c>
      <c r="N457" s="808"/>
      <c r="O457" s="1875" t="s">
        <v>4046</v>
      </c>
      <c r="P457" s="1876"/>
      <c r="R457" s="44"/>
    </row>
    <row r="458" spans="1:18" s="807" customFormat="1" ht="11">
      <c r="A458" s="44"/>
      <c r="B458" s="44"/>
      <c r="C458" s="1877" t="s">
        <v>1313</v>
      </c>
      <c r="J458" s="1875" t="s">
        <v>1537</v>
      </c>
      <c r="N458" s="808"/>
      <c r="O458" s="1875" t="s">
        <v>4047</v>
      </c>
      <c r="P458" s="1876"/>
      <c r="R458" s="44"/>
    </row>
    <row r="459" spans="1:18" s="807" customFormat="1" ht="11">
      <c r="A459" s="44"/>
      <c r="B459" s="44"/>
      <c r="C459" s="1877" t="s">
        <v>1980</v>
      </c>
      <c r="J459" s="1875" t="s">
        <v>1120</v>
      </c>
      <c r="N459" s="808"/>
      <c r="O459" s="1875" t="s">
        <v>4051</v>
      </c>
      <c r="P459" s="1876"/>
      <c r="R459" s="44"/>
    </row>
    <row r="460" spans="1:18" s="807" customFormat="1" ht="11">
      <c r="A460" s="44"/>
      <c r="B460" s="44"/>
      <c r="C460" s="1877" t="s">
        <v>1309</v>
      </c>
      <c r="J460" s="1875" t="s">
        <v>549</v>
      </c>
      <c r="N460" s="808"/>
      <c r="O460" s="1875" t="s">
        <v>4048</v>
      </c>
      <c r="P460" s="1876"/>
      <c r="R460" s="44"/>
    </row>
    <row r="461" spans="1:18" s="807" customFormat="1" ht="11">
      <c r="A461" s="44"/>
      <c r="B461" s="44"/>
      <c r="C461" s="1877" t="s">
        <v>1310</v>
      </c>
      <c r="J461" s="1875" t="s">
        <v>1543</v>
      </c>
      <c r="N461" s="808"/>
      <c r="O461" s="1875" t="s">
        <v>4049</v>
      </c>
      <c r="P461" s="1876"/>
      <c r="R461" s="44"/>
    </row>
    <row r="462" spans="1:18" s="807" customFormat="1" ht="11">
      <c r="A462" s="44"/>
      <c r="B462" s="44"/>
      <c r="C462" s="1877" t="s">
        <v>1975</v>
      </c>
      <c r="J462" s="1875" t="s">
        <v>1117</v>
      </c>
      <c r="N462" s="808"/>
      <c r="O462" s="1875" t="s">
        <v>4050</v>
      </c>
      <c r="P462" s="1876"/>
      <c r="R462" s="44"/>
    </row>
    <row r="463" spans="1:18" s="807" customFormat="1" ht="11">
      <c r="A463" s="44"/>
      <c r="B463" s="44"/>
      <c r="C463" s="1877" t="s">
        <v>1976</v>
      </c>
      <c r="J463" s="1875" t="s">
        <v>1116</v>
      </c>
      <c r="N463" s="808"/>
      <c r="O463" s="807" t="s">
        <v>3277</v>
      </c>
      <c r="P463" s="1876"/>
      <c r="R463" s="44"/>
    </row>
    <row r="464" spans="1:18" s="807" customFormat="1" ht="11">
      <c r="A464" s="44"/>
      <c r="B464" s="44"/>
      <c r="C464" s="1877" t="s">
        <v>1977</v>
      </c>
      <c r="J464" s="1875" t="s">
        <v>1603</v>
      </c>
      <c r="N464" s="808"/>
      <c r="O464" s="807" t="s">
        <v>3278</v>
      </c>
      <c r="P464" s="1876"/>
      <c r="R464" s="44"/>
    </row>
    <row r="465" spans="1:22" s="807" customFormat="1" ht="11">
      <c r="A465" s="44"/>
      <c r="B465" s="44"/>
      <c r="C465" s="1877" t="s">
        <v>1978</v>
      </c>
      <c r="J465" s="1875" t="s">
        <v>1546</v>
      </c>
      <c r="N465" s="808"/>
      <c r="O465" s="1875"/>
      <c r="P465" s="1876"/>
      <c r="R465" s="44"/>
    </row>
    <row r="466" spans="1:22" s="807" customFormat="1" ht="11">
      <c r="A466" s="44"/>
      <c r="B466" s="44"/>
      <c r="C466" s="1877" t="s">
        <v>1979</v>
      </c>
      <c r="J466" s="1875" t="s">
        <v>1538</v>
      </c>
      <c r="N466" s="808"/>
      <c r="O466" s="1876"/>
      <c r="P466" s="1876"/>
      <c r="R466" s="44"/>
    </row>
    <row r="467" spans="1:22" s="807" customFormat="1" ht="11">
      <c r="A467" s="44"/>
      <c r="B467" s="44"/>
      <c r="C467" s="1877" t="s">
        <v>1311</v>
      </c>
      <c r="J467" s="1875" t="s">
        <v>1952</v>
      </c>
      <c r="N467" s="808"/>
      <c r="O467" s="1875"/>
      <c r="P467" s="1876"/>
      <c r="R467" s="44"/>
    </row>
    <row r="468" spans="1:22" s="807" customFormat="1" ht="11">
      <c r="A468" s="44"/>
      <c r="B468" s="44"/>
      <c r="C468" s="1877" t="s">
        <v>2108</v>
      </c>
      <c r="N468" s="808"/>
      <c r="O468" s="1876"/>
      <c r="P468" s="1876"/>
      <c r="R468" s="44"/>
    </row>
    <row r="469" spans="1:22" s="807" customFormat="1" ht="11">
      <c r="A469" s="44"/>
      <c r="B469" s="44"/>
      <c r="N469" s="808"/>
      <c r="O469" s="1876"/>
      <c r="P469" s="1876"/>
      <c r="R469" s="44"/>
    </row>
    <row r="470" spans="1:22" s="807" customFormat="1" ht="11">
      <c r="A470" s="44"/>
      <c r="B470" s="44"/>
      <c r="R470" s="44"/>
      <c r="S470" s="44"/>
      <c r="T470" s="44"/>
      <c r="U470" s="44"/>
      <c r="V470" s="44"/>
    </row>
    <row r="471" spans="1:22" s="807" customFormat="1" ht="11">
      <c r="A471" s="44"/>
      <c r="B471" s="44"/>
      <c r="C471" s="1878" t="s">
        <v>1664</v>
      </c>
      <c r="R471" s="44"/>
    </row>
    <row r="472" spans="1:22" s="807" customFormat="1" ht="11">
      <c r="A472" s="44"/>
      <c r="B472" s="44"/>
      <c r="C472" s="807" t="s">
        <v>869</v>
      </c>
      <c r="R472" s="44"/>
    </row>
    <row r="473" spans="1:22" s="807" customFormat="1" ht="11">
      <c r="A473" s="44"/>
      <c r="B473" s="44"/>
      <c r="C473" s="1877" t="s">
        <v>1522</v>
      </c>
      <c r="R473" s="44"/>
    </row>
    <row r="474" spans="1:22" s="807" customFormat="1" ht="11">
      <c r="A474" s="44"/>
      <c r="B474" s="44"/>
      <c r="C474" s="1877" t="s">
        <v>672</v>
      </c>
      <c r="L474" s="1877"/>
      <c r="R474" s="44"/>
    </row>
    <row r="475" spans="1:22" s="807" customFormat="1" ht="11">
      <c r="A475" s="44"/>
      <c r="B475" s="44"/>
      <c r="C475" s="1877" t="s">
        <v>673</v>
      </c>
      <c r="L475" s="1877"/>
      <c r="R475" s="44"/>
    </row>
    <row r="476" spans="1:22" s="807" customFormat="1" ht="11">
      <c r="A476" s="44"/>
      <c r="B476" s="44"/>
      <c r="C476" s="1877" t="s">
        <v>2001</v>
      </c>
      <c r="L476" s="1877"/>
      <c r="R476" s="44"/>
    </row>
    <row r="477" spans="1:22" s="807" customFormat="1" ht="11">
      <c r="A477" s="44"/>
      <c r="B477" s="44"/>
      <c r="C477" s="1877" t="s">
        <v>120</v>
      </c>
      <c r="L477" s="1877"/>
      <c r="R477" s="44"/>
    </row>
    <row r="478" spans="1:22" s="807" customFormat="1" ht="11">
      <c r="A478" s="44"/>
      <c r="B478" s="44"/>
      <c r="C478" s="807" t="s">
        <v>118</v>
      </c>
      <c r="L478" s="1877"/>
      <c r="R478" s="44"/>
    </row>
    <row r="479" spans="1:22" s="807" customFormat="1" ht="11">
      <c r="A479" s="44"/>
      <c r="B479" s="44"/>
      <c r="C479" s="807" t="s">
        <v>1741</v>
      </c>
      <c r="R479" s="44"/>
    </row>
    <row r="480" spans="1:22" s="807" customFormat="1" ht="11">
      <c r="A480" s="44"/>
      <c r="B480" s="44"/>
      <c r="C480" s="1877" t="s">
        <v>888</v>
      </c>
      <c r="L480" s="1877"/>
      <c r="R480" s="44"/>
    </row>
    <row r="481" spans="1:18" s="807" customFormat="1" ht="11">
      <c r="A481" s="44"/>
      <c r="B481" s="44"/>
      <c r="C481" s="807" t="s">
        <v>119</v>
      </c>
      <c r="L481" s="1877"/>
      <c r="R481" s="44"/>
    </row>
    <row r="482" spans="1:18" s="807" customFormat="1" ht="11">
      <c r="A482" s="44"/>
      <c r="B482" s="44"/>
      <c r="C482" s="807" t="s">
        <v>120</v>
      </c>
      <c r="L482" s="1877"/>
      <c r="R482" s="44"/>
    </row>
    <row r="483" spans="1:18" s="807" customFormat="1" ht="11">
      <c r="A483" s="44"/>
      <c r="B483" s="44"/>
      <c r="C483" s="807" t="s">
        <v>121</v>
      </c>
      <c r="L483" s="1877"/>
      <c r="R483" s="44"/>
    </row>
    <row r="484" spans="1:18" s="807" customFormat="1" ht="11">
      <c r="A484" s="44"/>
      <c r="B484" s="44"/>
      <c r="C484" s="807" t="s">
        <v>2439</v>
      </c>
      <c r="R484" s="44"/>
    </row>
    <row r="485" spans="1:18" s="807" customFormat="1" ht="11">
      <c r="A485" s="44"/>
      <c r="B485" s="44"/>
      <c r="C485" s="1877" t="s">
        <v>1865</v>
      </c>
      <c r="L485" s="1877"/>
      <c r="R485" s="44"/>
    </row>
    <row r="486" spans="1:18" s="807" customFormat="1" ht="11">
      <c r="A486" s="44"/>
      <c r="B486" s="44"/>
      <c r="C486" s="807" t="s">
        <v>2440</v>
      </c>
      <c r="L486" s="1877"/>
      <c r="R486" s="44"/>
    </row>
    <row r="487" spans="1:18" s="807" customFormat="1" ht="11">
      <c r="A487" s="44"/>
      <c r="B487" s="44"/>
      <c r="C487" s="807" t="s">
        <v>1304</v>
      </c>
      <c r="L487" s="1877"/>
      <c r="R487" s="44"/>
    </row>
    <row r="488" spans="1:18" s="807" customFormat="1" ht="11">
      <c r="A488" s="44"/>
      <c r="B488" s="44"/>
      <c r="C488" s="807" t="s">
        <v>1485</v>
      </c>
      <c r="K488" s="1878" t="s">
        <v>434</v>
      </c>
      <c r="L488" s="1877"/>
      <c r="R488" s="44"/>
    </row>
    <row r="489" spans="1:18" s="807" customFormat="1" ht="11">
      <c r="A489" s="44"/>
      <c r="B489" s="44"/>
      <c r="C489" s="807" t="s">
        <v>2441</v>
      </c>
      <c r="K489" s="807" t="s">
        <v>1018</v>
      </c>
      <c r="L489" s="1877"/>
      <c r="R489" s="44"/>
    </row>
    <row r="490" spans="1:18" s="807" customFormat="1" ht="11">
      <c r="A490" s="44"/>
      <c r="B490" s="44"/>
      <c r="C490" s="807" t="s">
        <v>2442</v>
      </c>
      <c r="K490" s="807" t="s">
        <v>3248</v>
      </c>
      <c r="R490" s="44"/>
    </row>
    <row r="491" spans="1:18" s="807" customFormat="1" ht="11">
      <c r="A491" s="44"/>
      <c r="B491" s="44"/>
      <c r="C491" s="1877" t="s">
        <v>1130</v>
      </c>
      <c r="K491" s="807" t="s">
        <v>6201</v>
      </c>
      <c r="R491" s="44"/>
    </row>
    <row r="492" spans="1:18" s="807" customFormat="1" ht="11">
      <c r="A492" s="44"/>
      <c r="B492" s="44"/>
      <c r="R492" s="44"/>
    </row>
    <row r="493" spans="1:18" s="807" customFormat="1" ht="11">
      <c r="A493" s="44"/>
      <c r="B493" s="44"/>
      <c r="C493" s="1878" t="s">
        <v>244</v>
      </c>
      <c r="K493" s="1878" t="s">
        <v>2072</v>
      </c>
      <c r="R493" s="44"/>
    </row>
    <row r="494" spans="1:18" s="807" customFormat="1" ht="11">
      <c r="A494" s="44"/>
      <c r="B494" s="44"/>
      <c r="C494" s="807" t="s">
        <v>1019</v>
      </c>
      <c r="K494" s="807" t="s">
        <v>2147</v>
      </c>
      <c r="R494" s="44"/>
    </row>
    <row r="495" spans="1:18" s="807" customFormat="1" ht="11">
      <c r="A495" s="44"/>
      <c r="B495" s="44"/>
      <c r="C495" s="807" t="s">
        <v>163</v>
      </c>
      <c r="K495" s="807" t="s">
        <v>6304</v>
      </c>
      <c r="R495" s="44"/>
    </row>
    <row r="496" spans="1:18" s="807" customFormat="1" ht="11">
      <c r="A496" s="44"/>
      <c r="B496" s="44"/>
      <c r="C496" s="807" t="s">
        <v>1429</v>
      </c>
      <c r="K496" s="807" t="s">
        <v>6303</v>
      </c>
      <c r="R496" s="44"/>
    </row>
    <row r="497" spans="1:18" s="807" customFormat="1" ht="11">
      <c r="A497" s="44"/>
      <c r="B497" s="44"/>
      <c r="C497" s="807" t="s">
        <v>1965</v>
      </c>
      <c r="K497" s="807" t="s">
        <v>6202</v>
      </c>
      <c r="R497" s="44"/>
    </row>
    <row r="498" spans="1:18" s="807" customFormat="1" ht="11">
      <c r="A498" s="44"/>
      <c r="B498" s="44"/>
      <c r="C498" s="807" t="s">
        <v>162</v>
      </c>
      <c r="K498" s="807" t="s">
        <v>6305</v>
      </c>
      <c r="R498" s="44"/>
    </row>
    <row r="499" spans="1:18" s="807" customFormat="1" ht="11">
      <c r="A499" s="44"/>
      <c r="B499" s="44"/>
      <c r="K499" s="1878" t="s">
        <v>1809</v>
      </c>
      <c r="R499" s="44"/>
    </row>
    <row r="500" spans="1:18" s="807" customFormat="1" ht="11">
      <c r="A500" s="44"/>
      <c r="B500" s="44"/>
      <c r="K500" s="807" t="s">
        <v>1017</v>
      </c>
      <c r="R500" s="44"/>
    </row>
    <row r="501" spans="1:18" s="807" customFormat="1" ht="11">
      <c r="A501" s="44"/>
      <c r="B501" s="44"/>
      <c r="K501" s="807" t="s">
        <v>1628</v>
      </c>
      <c r="R501" s="44"/>
    </row>
    <row r="502" spans="1:18" s="807" customFormat="1" ht="11">
      <c r="A502" s="44"/>
      <c r="B502" s="44"/>
      <c r="K502" s="807" t="s">
        <v>1067</v>
      </c>
      <c r="R502" s="44"/>
    </row>
    <row r="503" spans="1:18" s="807" customFormat="1" ht="11">
      <c r="A503" s="44"/>
      <c r="B503" s="44"/>
      <c r="K503" s="807" t="s">
        <v>1629</v>
      </c>
      <c r="R503" s="44"/>
    </row>
    <row r="504" spans="1:18" s="807" customFormat="1" ht="11">
      <c r="A504" s="44"/>
      <c r="B504" s="44"/>
      <c r="K504" s="807" t="s">
        <v>2185</v>
      </c>
      <c r="R504" s="44"/>
    </row>
    <row r="505" spans="1:18" s="807" customFormat="1" ht="11">
      <c r="A505" s="44"/>
      <c r="B505" s="44"/>
      <c r="R505" s="44"/>
    </row>
    <row r="506" spans="1:18" s="807" customFormat="1" ht="11">
      <c r="A506" s="44"/>
      <c r="B506" s="44"/>
      <c r="C506" s="1878" t="s">
        <v>951</v>
      </c>
      <c r="M506" s="1878" t="s">
        <v>3851</v>
      </c>
      <c r="R506" s="44"/>
    </row>
    <row r="507" spans="1:18" s="807" customFormat="1" ht="11">
      <c r="A507" s="44"/>
      <c r="B507" s="44"/>
      <c r="C507" s="807" t="s">
        <v>950</v>
      </c>
      <c r="M507" s="807" t="s">
        <v>950</v>
      </c>
      <c r="R507" s="44"/>
    </row>
    <row r="508" spans="1:18" s="807" customFormat="1" ht="11">
      <c r="A508" s="44"/>
      <c r="B508" s="44"/>
      <c r="C508" s="807" t="s">
        <v>1938</v>
      </c>
      <c r="M508" s="807" t="s">
        <v>3848</v>
      </c>
      <c r="R508" s="44"/>
    </row>
    <row r="509" spans="1:18" s="807" customFormat="1" ht="11">
      <c r="A509" s="44"/>
      <c r="B509" s="44"/>
      <c r="C509" s="807" t="s">
        <v>2341</v>
      </c>
      <c r="M509" s="807" t="s">
        <v>3879</v>
      </c>
      <c r="R509" s="44"/>
    </row>
    <row r="510" spans="1:18" s="807" customFormat="1" ht="11">
      <c r="A510" s="44"/>
      <c r="B510" s="44"/>
      <c r="C510" s="807" t="s">
        <v>1939</v>
      </c>
      <c r="M510" s="807" t="s">
        <v>1540</v>
      </c>
      <c r="R510" s="44"/>
    </row>
    <row r="511" spans="1:18" s="807" customFormat="1" ht="11">
      <c r="A511" s="44"/>
      <c r="B511" s="44"/>
      <c r="C511" s="807" t="s">
        <v>1810</v>
      </c>
      <c r="M511" s="807" t="s">
        <v>3849</v>
      </c>
      <c r="R511" s="44"/>
    </row>
    <row r="512" spans="1:18" s="807" customFormat="1" ht="11">
      <c r="A512" s="44"/>
      <c r="B512" s="44"/>
      <c r="C512" s="807" t="s">
        <v>548</v>
      </c>
      <c r="M512" s="807" t="s">
        <v>3898</v>
      </c>
      <c r="R512" s="44"/>
    </row>
    <row r="513" spans="1:18" s="807" customFormat="1" ht="11">
      <c r="A513" s="44"/>
      <c r="B513" s="44"/>
      <c r="C513" s="807" t="s">
        <v>2035</v>
      </c>
      <c r="M513" s="807" t="s">
        <v>3899</v>
      </c>
      <c r="R513" s="44"/>
    </row>
    <row r="514" spans="1:18" s="807" customFormat="1" ht="11">
      <c r="A514" s="44"/>
      <c r="B514" s="44"/>
      <c r="C514" s="807" t="s">
        <v>30</v>
      </c>
      <c r="M514" s="807" t="s">
        <v>3850</v>
      </c>
      <c r="R514" s="44"/>
    </row>
    <row r="515" spans="1:18" s="807" customFormat="1" ht="11">
      <c r="A515" s="44"/>
      <c r="B515" s="44"/>
      <c r="M515" s="807" t="s">
        <v>1952</v>
      </c>
      <c r="R515" s="44"/>
    </row>
    <row r="516" spans="1:18" s="807" customFormat="1" ht="11">
      <c r="A516" s="44"/>
      <c r="B516" s="44"/>
      <c r="R516" s="44"/>
    </row>
    <row r="517" spans="1:18" s="807" customFormat="1" ht="11">
      <c r="A517" s="44"/>
      <c r="B517" s="44"/>
      <c r="R517" s="44"/>
    </row>
    <row r="518" spans="1:18" s="807" customFormat="1" ht="11">
      <c r="A518" s="44"/>
      <c r="B518" s="44"/>
      <c r="M518" s="1879" t="s">
        <v>3260</v>
      </c>
      <c r="R518" s="44"/>
    </row>
    <row r="519" spans="1:18" s="807" customFormat="1" ht="11">
      <c r="A519" s="44"/>
      <c r="B519" s="44"/>
      <c r="M519" s="807" t="s">
        <v>3336</v>
      </c>
      <c r="R519" s="44"/>
    </row>
    <row r="520" spans="1:18" s="807" customFormat="1" ht="11">
      <c r="A520" s="44"/>
      <c r="B520" s="44"/>
      <c r="M520" s="807" t="s">
        <v>3331</v>
      </c>
      <c r="R520" s="44"/>
    </row>
    <row r="521" spans="1:18" s="807" customFormat="1" ht="11">
      <c r="A521" s="44"/>
      <c r="B521" s="44"/>
      <c r="M521" s="807" t="s">
        <v>3253</v>
      </c>
      <c r="R521" s="44"/>
    </row>
    <row r="522" spans="1:18" s="807" customFormat="1" ht="11">
      <c r="A522" s="44"/>
      <c r="B522" s="44"/>
      <c r="M522" s="807" t="s">
        <v>3327</v>
      </c>
      <c r="R522" s="44"/>
    </row>
    <row r="523" spans="1:18" s="807" customFormat="1" ht="11">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5" customHeight="1">
      <c r="A2" s="4399" t="s">
        <v>6523</v>
      </c>
      <c r="B2" s="4399"/>
      <c r="C2" s="147"/>
      <c r="D2" s="795">
        <v>2021</v>
      </c>
      <c r="E2" s="144"/>
      <c r="F2" s="4393" t="s">
        <v>2999</v>
      </c>
      <c r="G2" s="4394"/>
      <c r="H2" s="4394"/>
      <c r="I2" s="4394"/>
      <c r="J2" s="4395"/>
      <c r="K2" s="234"/>
      <c r="L2" s="443" t="s">
        <v>3141</v>
      </c>
      <c r="M2" s="234"/>
      <c r="N2" s="4393" t="s">
        <v>2999</v>
      </c>
      <c r="O2" s="4394"/>
      <c r="P2" s="4394"/>
      <c r="Q2" s="4394"/>
      <c r="R2" s="4395"/>
      <c r="S2" s="241"/>
      <c r="T2" s="144"/>
      <c r="U2" s="144"/>
      <c r="V2" s="322"/>
      <c r="W2" s="322"/>
      <c r="X2" s="322"/>
      <c r="AA2" s="68"/>
      <c r="AB2" s="68"/>
    </row>
    <row r="3" spans="1:28" s="145" customFormat="1" ht="11.75"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5"/>
      <c r="G45" s="4422" t="s">
        <v>2465</v>
      </c>
      <c r="H45" s="4423"/>
      <c r="I45" s="66"/>
      <c r="J45" s="35"/>
      <c r="K45" s="4424" t="s">
        <v>3164</v>
      </c>
      <c r="L45" s="4425"/>
      <c r="M45" s="4425"/>
      <c r="N45" s="4426"/>
    </row>
    <row r="46" spans="1:295" s="28" customFormat="1" ht="11.25" customHeight="1">
      <c r="A46" s="4409"/>
      <c r="B46" s="4409"/>
      <c r="C46" s="4409"/>
      <c r="D46" s="4409"/>
      <c r="E46" s="4409"/>
      <c r="F46" s="1245"/>
      <c r="G46" s="4427" t="s">
        <v>333</v>
      </c>
      <c r="H46" s="4428"/>
      <c r="I46" s="66"/>
      <c r="J46" s="35"/>
      <c r="K46" s="4402" t="s">
        <v>3165</v>
      </c>
      <c r="L46" s="4403"/>
      <c r="M46" s="4403"/>
      <c r="N46" s="4404"/>
      <c r="P46" s="405" t="s">
        <v>2474</v>
      </c>
      <c r="Q46" s="74"/>
    </row>
    <row r="47" spans="1:295" s="28" customFormat="1" ht="4.5" customHeight="1">
      <c r="A47" s="1245"/>
      <c r="B47" s="1245"/>
      <c r="C47" s="1245"/>
      <c r="D47" s="1245"/>
      <c r="E47" s="1245"/>
      <c r="F47" s="1245"/>
      <c r="G47" s="66"/>
      <c r="H47" s="66"/>
      <c r="I47" s="66"/>
      <c r="J47" s="35"/>
      <c r="K47" s="4260"/>
      <c r="L47" s="4260"/>
      <c r="M47" s="4260"/>
      <c r="N47" s="4260"/>
      <c r="P47" s="4407" t="s">
        <v>3935</v>
      </c>
      <c r="Q47" s="4407"/>
    </row>
    <row r="48" spans="1:295" s="62" customFormat="1" ht="10.5" customHeight="1">
      <c r="D48" s="491" t="s">
        <v>2464</v>
      </c>
      <c r="E48" s="28"/>
      <c r="F48" s="492" t="s">
        <v>3067</v>
      </c>
      <c r="G48" s="4397" t="s">
        <v>3892</v>
      </c>
      <c r="H48" s="4397"/>
      <c r="I48" s="4397"/>
      <c r="J48" s="28"/>
      <c r="K48" s="492" t="s">
        <v>3067</v>
      </c>
      <c r="L48" s="4397" t="s">
        <v>3891</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4" t="str">
        <f>IF('Part I-Project Identification'!$F$26="","",VLOOKUP('Part I-Project Identification'!$J$26,'DCA Underwriting Assumptions'!$G$141:$N$300,8,FALSE))</f>
        <v>Atlanta</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6" t="s">
        <v>3936</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5">
        <f>'Part III-A-Uses of Funds'!$G$146</f>
        <v>20365239</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3927</v>
      </c>
      <c r="Q54" s="4366"/>
      <c r="R54" s="4396" t="s">
        <v>6299</v>
      </c>
      <c r="S54" s="4396"/>
      <c r="T54" s="439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5">
        <f>'Part III-A-Uses of Funds'!$G$146-'Part III-A-Uses of Funds'!$G$92-'Part III-A-Uses of Funds'!$G$114-'Part III-A-Uses of Funds'!$G$130-'Part III-A-Uses of Funds'!$G$131-'Part III-A-Uses of Funds'!$G$132</f>
        <v>19535914</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8"/>
      <c r="Q58" s="4419"/>
      <c r="R58" s="328"/>
      <c r="S58" s="4379" t="s">
        <v>3930</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00" t="s">
        <v>3160</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00" t="s">
        <v>3161</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12</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12 units = </v>
      </c>
      <c r="I71" s="1244">
        <f>IF(F71="","",F71*G71)</f>
        <v>2344219.7999999998</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10">
        <f>IF(P58&gt;1,P58, IF(OR('Part VIII Scoring Criteria OLD'!$O$113='Part VIII Scoring Criteria OLD'!$M$113,AND('Part III-A-Uses of Funds'!$T$179="Yes",'Part VIII Scoring Criteria OLD'!$O$378&gt;0)),H77+M77,H77))</f>
        <v>11965004.100000001</v>
      </c>
      <c r="Q71" s="4411"/>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23</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23 units = </v>
      </c>
      <c r="I72" s="1244">
        <f>IF(F72="","",F72*G72)</f>
        <v>5776838.7000000002</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2"/>
      <c r="Q72" s="4413"/>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f>IF('Part V-Revenues &amp; Expenses'!$N$153 =0,"",'Part V-Revenues &amp; Expenses'!$N$153)</f>
        <v>12</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12 units = </v>
      </c>
      <c r="I73" s="1244">
        <f>IF(F73="","",F73*G73)</f>
        <v>3843945.6000000006</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8" t="s">
        <v>3448</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47</v>
      </c>
      <c r="G75" s="493"/>
      <c r="H75" s="871"/>
      <c r="I75" s="874">
        <f>SUM(I70:I74)</f>
        <v>11965004.100000001</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47</v>
      </c>
      <c r="G77" s="258"/>
      <c r="H77" s="4398">
        <f>I54+I61+I68+I75</f>
        <v>11965004.100000001</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323" t="str">
        <f>CONCATENATE("PART EIGHT - SCORING CRITERIA","  -  ",'Part I-Project Identification'!$O$7," ",'Part I-Project Identification'!$F$25,", ",'Part I-Project Identification'!F26,", ",'Part I-Project Identification'!J26," County")</f>
        <v>PART EIGHT - SCORING CRITERIA  -  2023-0 Fairhaven on Campbellton, Atlanta, Fulton County</v>
      </c>
      <c r="B1" s="3324"/>
      <c r="C1" s="3324"/>
      <c r="D1" s="3324"/>
      <c r="E1" s="3324"/>
      <c r="F1" s="3324"/>
      <c r="G1" s="3324"/>
      <c r="H1" s="3324"/>
      <c r="I1" s="3324"/>
      <c r="J1" s="3324"/>
      <c r="K1" s="3324"/>
      <c r="L1" s="3324"/>
      <c r="M1" s="3324"/>
      <c r="N1" s="3324"/>
      <c r="O1" s="3324"/>
      <c r="P1" s="3325"/>
      <c r="Q1" s="4430" t="s">
        <v>6644</v>
      </c>
      <c r="R1" s="4430"/>
      <c r="S1" s="4430"/>
      <c r="T1" s="4430"/>
      <c r="U1" s="4430"/>
      <c r="V1" s="4430"/>
      <c r="W1" s="1969"/>
      <c r="X1" s="1927"/>
    </row>
    <row r="2" spans="1:25" s="28" customFormat="1" ht="4.25" customHeight="1">
      <c r="A2" s="29"/>
      <c r="B2" s="29"/>
      <c r="C2" s="30"/>
      <c r="D2" s="29"/>
      <c r="E2" s="29"/>
      <c r="F2" s="29"/>
      <c r="G2" s="29"/>
      <c r="H2" s="29"/>
      <c r="I2" s="29"/>
      <c r="J2" s="29"/>
      <c r="K2" s="29"/>
      <c r="L2" s="29"/>
      <c r="M2" s="31"/>
      <c r="N2" s="53"/>
      <c r="O2" s="119"/>
      <c r="P2" s="119"/>
      <c r="Q2" s="4430"/>
      <c r="R2" s="4430"/>
      <c r="S2" s="4430"/>
      <c r="T2" s="4430"/>
      <c r="U2" s="4430"/>
      <c r="V2" s="4430"/>
      <c r="W2" s="1969"/>
      <c r="X2" s="1927"/>
    </row>
    <row r="3" spans="1:25" s="35" customFormat="1" ht="12" customHeight="1">
      <c r="A3" s="4481" t="s">
        <v>6658</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9"/>
      <c r="X3" s="1927"/>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3"/>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3" t="s">
        <v>6495</v>
      </c>
      <c r="G12" s="4573"/>
      <c r="H12" s="4573"/>
      <c r="I12" s="4573"/>
      <c r="J12" s="4573"/>
      <c r="K12" s="4573"/>
      <c r="L12" s="4573"/>
      <c r="M12" s="4573"/>
      <c r="N12" s="4573"/>
      <c r="O12" s="1201" t="s">
        <v>3809</v>
      </c>
      <c r="P12" s="1202">
        <f>SUM(P13:P31)</f>
        <v>0</v>
      </c>
      <c r="Q12" s="4429" t="s">
        <v>6544</v>
      </c>
      <c r="R12" s="4429"/>
      <c r="S12" s="4429"/>
      <c r="T12" s="4429"/>
      <c r="U12" s="4429"/>
      <c r="V12" s="1179"/>
    </row>
    <row r="13" spans="1:25" s="35" customFormat="1" ht="10.5" customHeight="1">
      <c r="A13" s="924" t="s">
        <v>1668</v>
      </c>
      <c r="B13" s="921" t="s">
        <v>3393</v>
      </c>
      <c r="C13" s="922"/>
      <c r="D13" s="923"/>
      <c r="E13" s="1195">
        <f>$O$103</f>
        <v>0</v>
      </c>
      <c r="F13" s="4574">
        <f>$A$109</f>
        <v>0</v>
      </c>
      <c r="G13" s="4575"/>
      <c r="H13" s="4575"/>
      <c r="I13" s="4575"/>
      <c r="J13" s="4575"/>
      <c r="K13" s="4575"/>
      <c r="L13" s="4575"/>
      <c r="M13" s="4575"/>
      <c r="N13" s="4575"/>
      <c r="O13" s="4575"/>
      <c r="P13" s="1208"/>
      <c r="Q13" s="4429"/>
      <c r="R13" s="4429"/>
      <c r="S13" s="4429"/>
      <c r="T13" s="4429"/>
      <c r="U13" s="4429"/>
      <c r="V13" s="1179"/>
    </row>
    <row r="14" spans="1:25" s="35" customFormat="1" ht="10.5" customHeight="1">
      <c r="A14" s="924" t="s">
        <v>496</v>
      </c>
      <c r="B14" s="751" t="s">
        <v>4037</v>
      </c>
      <c r="C14" s="866"/>
      <c r="D14" s="925"/>
      <c r="E14" s="1771">
        <f>$O$113</f>
        <v>0</v>
      </c>
      <c r="F14" s="4449">
        <f>$A$147</f>
        <v>0</v>
      </c>
      <c r="G14" s="4450"/>
      <c r="H14" s="4450"/>
      <c r="I14" s="4450"/>
      <c r="J14" s="4450"/>
      <c r="K14" s="4450"/>
      <c r="L14" s="4450"/>
      <c r="M14" s="4450"/>
      <c r="N14" s="4450"/>
      <c r="O14" s="4451"/>
      <c r="P14" s="1209"/>
      <c r="Q14" s="4429"/>
      <c r="R14" s="4429"/>
      <c r="S14" s="4429"/>
      <c r="T14" s="4429"/>
      <c r="U14" s="4429"/>
    </row>
    <row r="15" spans="1:25" s="35" customFormat="1" ht="10.5" customHeight="1">
      <c r="A15" s="924" t="s">
        <v>720</v>
      </c>
      <c r="B15" s="751" t="s">
        <v>3338</v>
      </c>
      <c r="C15" s="866"/>
      <c r="D15" s="925"/>
      <c r="E15" s="1771">
        <f>$O$152</f>
        <v>0</v>
      </c>
      <c r="F15" s="4449">
        <f>$A$165</f>
        <v>0</v>
      </c>
      <c r="G15" s="4450"/>
      <c r="H15" s="4450"/>
      <c r="I15" s="4450"/>
      <c r="J15" s="4450"/>
      <c r="K15" s="4450"/>
      <c r="L15" s="4450"/>
      <c r="M15" s="4450"/>
      <c r="N15" s="4450"/>
      <c r="O15" s="4451"/>
      <c r="P15" s="1209"/>
      <c r="Q15" s="1975"/>
      <c r="R15" s="1975"/>
      <c r="S15" s="1975"/>
      <c r="T15" s="1975"/>
      <c r="U15" s="1975"/>
    </row>
    <row r="16" spans="1:25" s="35" customFormat="1" ht="10.5" customHeight="1">
      <c r="A16" s="1612" t="s">
        <v>280</v>
      </c>
      <c r="B16" s="751" t="s">
        <v>3394</v>
      </c>
      <c r="C16" s="866"/>
      <c r="D16" s="925"/>
      <c r="E16" s="1197">
        <f>$O$169</f>
        <v>0</v>
      </c>
      <c r="F16" s="4449">
        <f>$A$186</f>
        <v>0</v>
      </c>
      <c r="G16" s="4450"/>
      <c r="H16" s="4450"/>
      <c r="I16" s="4450"/>
      <c r="J16" s="4450"/>
      <c r="K16" s="4450"/>
      <c r="L16" s="4450"/>
      <c r="M16" s="4450"/>
      <c r="N16" s="4450"/>
      <c r="O16" s="4451"/>
      <c r="P16" s="1209"/>
      <c r="Q16" s="1975"/>
      <c r="R16" s="1975"/>
      <c r="S16" s="1975"/>
      <c r="T16" s="1975"/>
      <c r="U16" s="1975"/>
    </row>
    <row r="17" spans="1:35" s="35" customFormat="1" ht="10.5" customHeight="1">
      <c r="A17" s="924" t="s">
        <v>401</v>
      </c>
      <c r="B17" s="931" t="s">
        <v>3395</v>
      </c>
      <c r="C17" s="932"/>
      <c r="D17" s="933"/>
      <c r="E17" s="1198" t="s">
        <v>1610</v>
      </c>
      <c r="F17" s="4513">
        <f>$A$201</f>
        <v>0</v>
      </c>
      <c r="G17" s="4514"/>
      <c r="H17" s="4514"/>
      <c r="I17" s="4514"/>
      <c r="J17" s="4514"/>
      <c r="K17" s="4514"/>
      <c r="L17" s="4514"/>
      <c r="M17" s="4514"/>
      <c r="N17" s="4514"/>
      <c r="O17" s="4515"/>
      <c r="P17" s="1209"/>
      <c r="Q17" s="1975"/>
      <c r="R17" s="1975"/>
      <c r="S17" s="1975"/>
      <c r="T17" s="1975"/>
      <c r="U17" s="1975"/>
    </row>
    <row r="18" spans="1:35" s="35" customFormat="1" ht="10.5" customHeight="1">
      <c r="A18" s="924" t="s">
        <v>342</v>
      </c>
      <c r="B18" s="751" t="s">
        <v>4038</v>
      </c>
      <c r="C18" s="866"/>
      <c r="D18" s="925"/>
      <c r="E18" s="1196">
        <f>$O$205</f>
        <v>0</v>
      </c>
      <c r="F18" s="4449">
        <f>$A$220</f>
        <v>0</v>
      </c>
      <c r="G18" s="4450"/>
      <c r="H18" s="4450"/>
      <c r="I18" s="4450"/>
      <c r="J18" s="4450"/>
      <c r="K18" s="4450"/>
      <c r="L18" s="4450"/>
      <c r="M18" s="4450"/>
      <c r="N18" s="4450"/>
      <c r="O18" s="4451"/>
      <c r="P18" s="1209"/>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4040</v>
      </c>
      <c r="B19" s="751" t="s">
        <v>3261</v>
      </c>
      <c r="C19" s="866"/>
      <c r="D19" s="925"/>
      <c r="E19" s="1196">
        <f>$O$233</f>
        <v>0</v>
      </c>
      <c r="F19" s="4449">
        <f>$A$238</f>
        <v>0</v>
      </c>
      <c r="G19" s="4450"/>
      <c r="H19" s="4450"/>
      <c r="I19" s="4450"/>
      <c r="J19" s="4450"/>
      <c r="K19" s="4450"/>
      <c r="L19" s="4450"/>
      <c r="M19" s="4450"/>
      <c r="N19" s="4450"/>
      <c r="O19" s="4451"/>
      <c r="P19" s="1209"/>
      <c r="Q19" s="4508"/>
      <c r="R19" s="4509"/>
      <c r="S19" s="4509"/>
    </row>
    <row r="20" spans="1:35" s="35" customFormat="1" ht="10.5" customHeight="1">
      <c r="A20" s="924" t="s">
        <v>4052</v>
      </c>
      <c r="B20" s="751" t="s">
        <v>4041</v>
      </c>
      <c r="C20" s="866"/>
      <c r="D20" s="925"/>
      <c r="E20" s="1198">
        <f>$O$242</f>
        <v>0</v>
      </c>
      <c r="F20" s="4449">
        <f>$A$248</f>
        <v>0</v>
      </c>
      <c r="G20" s="4450"/>
      <c r="H20" s="4450"/>
      <c r="I20" s="4450"/>
      <c r="J20" s="4450"/>
      <c r="K20" s="4450"/>
      <c r="L20" s="4450"/>
      <c r="M20" s="4450"/>
      <c r="N20" s="4450"/>
      <c r="O20" s="4451"/>
      <c r="P20" s="1209"/>
      <c r="Q20" s="4508"/>
      <c r="R20" s="4509"/>
      <c r="S20" s="4509"/>
    </row>
    <row r="21" spans="1:35" s="35" customFormat="1" ht="10.5" customHeight="1">
      <c r="A21" s="930" t="s">
        <v>6242</v>
      </c>
      <c r="B21" s="931" t="s">
        <v>4042</v>
      </c>
      <c r="C21" s="932"/>
      <c r="D21" s="933"/>
      <c r="E21" s="1199">
        <f>$O$252</f>
        <v>0</v>
      </c>
      <c r="F21" s="4513">
        <f>$A$257</f>
        <v>0</v>
      </c>
      <c r="G21" s="4514"/>
      <c r="H21" s="4514"/>
      <c r="I21" s="4514"/>
      <c r="J21" s="4514"/>
      <c r="K21" s="4514"/>
      <c r="L21" s="4514"/>
      <c r="M21" s="4514"/>
      <c r="N21" s="4514"/>
      <c r="O21" s="4515"/>
      <c r="P21" s="1209"/>
      <c r="Q21" s="4508"/>
      <c r="R21" s="4509"/>
      <c r="S21" s="4509"/>
    </row>
    <row r="22" spans="1:35" s="35" customFormat="1" ht="10.5" customHeight="1">
      <c r="A22" s="924" t="s">
        <v>6636</v>
      </c>
      <c r="B22" s="751" t="s">
        <v>6548</v>
      </c>
      <c r="C22" s="866"/>
      <c r="D22" s="925"/>
      <c r="E22" s="1196">
        <f>$O$274</f>
        <v>0</v>
      </c>
      <c r="F22" s="4449">
        <f>$A$281</f>
        <v>0</v>
      </c>
      <c r="G22" s="4450"/>
      <c r="H22" s="4450"/>
      <c r="I22" s="4450"/>
      <c r="J22" s="4450"/>
      <c r="K22" s="4450"/>
      <c r="L22" s="4450"/>
      <c r="M22" s="4450"/>
      <c r="N22" s="4450"/>
      <c r="O22" s="4451"/>
      <c r="P22" s="1209"/>
      <c r="Q22" s="4508"/>
      <c r="R22" s="4509"/>
      <c r="S22" s="4509"/>
    </row>
    <row r="23" spans="1:35" s="35" customFormat="1" ht="10.5" customHeight="1">
      <c r="A23" s="924" t="s">
        <v>6638</v>
      </c>
      <c r="B23" s="751" t="s">
        <v>6637</v>
      </c>
      <c r="C23" s="866"/>
      <c r="D23" s="925"/>
      <c r="E23" s="1196">
        <f>$O$285</f>
        <v>0</v>
      </c>
      <c r="F23" s="4449">
        <f>$A$306</f>
        <v>0</v>
      </c>
      <c r="G23" s="4450"/>
      <c r="H23" s="4450"/>
      <c r="I23" s="4450"/>
      <c r="J23" s="4450"/>
      <c r="K23" s="4450"/>
      <c r="L23" s="4450"/>
      <c r="M23" s="4450"/>
      <c r="N23" s="4450"/>
      <c r="O23" s="4451"/>
      <c r="P23" s="1209"/>
      <c r="Q23" s="4508"/>
      <c r="R23" s="4509"/>
      <c r="S23" s="4509"/>
    </row>
    <row r="24" spans="1:35" s="35" customFormat="1" ht="10.5" customHeight="1">
      <c r="A24" s="1612" t="s">
        <v>3368</v>
      </c>
      <c r="B24" s="1887" t="s">
        <v>6554</v>
      </c>
      <c r="C24" s="1888"/>
      <c r="D24" s="1889"/>
      <c r="E24" s="1197">
        <f>$O$310</f>
        <v>0</v>
      </c>
      <c r="F24" s="4502">
        <f>$A$314</f>
        <v>0</v>
      </c>
      <c r="G24" s="4503"/>
      <c r="H24" s="4503"/>
      <c r="I24" s="4503"/>
      <c r="J24" s="4503"/>
      <c r="K24" s="4503"/>
      <c r="L24" s="4503"/>
      <c r="M24" s="4503"/>
      <c r="N24" s="4503"/>
      <c r="O24" s="4504"/>
      <c r="P24" s="1209"/>
      <c r="Q24" s="4508"/>
      <c r="R24" s="4509"/>
      <c r="S24" s="4509"/>
    </row>
    <row r="25" spans="1:35" s="35" customFormat="1" ht="10.5" customHeight="1">
      <c r="A25" s="924" t="s">
        <v>3372</v>
      </c>
      <c r="B25" s="751" t="s">
        <v>3396</v>
      </c>
      <c r="C25" s="866"/>
      <c r="D25" s="925"/>
      <c r="E25" s="1196">
        <f>$O$334</f>
        <v>0</v>
      </c>
      <c r="F25" s="4449">
        <f>$A$338</f>
        <v>0</v>
      </c>
      <c r="G25" s="4450"/>
      <c r="H25" s="4450"/>
      <c r="I25" s="4450"/>
      <c r="J25" s="4450"/>
      <c r="K25" s="4450"/>
      <c r="L25" s="4450"/>
      <c r="M25" s="4450"/>
      <c r="N25" s="4450"/>
      <c r="O25" s="4451"/>
      <c r="P25" s="1209"/>
      <c r="Q25" s="4508"/>
      <c r="R25" s="4509"/>
      <c r="S25" s="4509"/>
    </row>
    <row r="26" spans="1:35" s="35" customFormat="1" ht="10.5" customHeight="1">
      <c r="A26" s="924" t="s">
        <v>3375</v>
      </c>
      <c r="B26" s="751" t="s">
        <v>3397</v>
      </c>
      <c r="C26" s="866"/>
      <c r="D26" s="925"/>
      <c r="E26" s="1196">
        <f>$O$342</f>
        <v>0</v>
      </c>
      <c r="F26" s="4449">
        <f>$A$374</f>
        <v>0</v>
      </c>
      <c r="G26" s="4450"/>
      <c r="H26" s="4450"/>
      <c r="I26" s="4450"/>
      <c r="J26" s="4450"/>
      <c r="K26" s="4450"/>
      <c r="L26" s="4450"/>
      <c r="M26" s="4450"/>
      <c r="N26" s="4450"/>
      <c r="O26" s="4451"/>
      <c r="P26" s="1209"/>
      <c r="Q26" s="4508"/>
      <c r="R26" s="4509"/>
      <c r="S26" s="4509"/>
    </row>
    <row r="27" spans="1:35" s="35" customFormat="1" ht="10.5" customHeight="1">
      <c r="A27" s="924" t="s">
        <v>3376</v>
      </c>
      <c r="B27" s="751" t="s">
        <v>3398</v>
      </c>
      <c r="C27" s="866"/>
      <c r="D27" s="925"/>
      <c r="E27" s="1198">
        <f>$O$378</f>
        <v>0</v>
      </c>
      <c r="F27" s="4449">
        <f>$A$393</f>
        <v>0</v>
      </c>
      <c r="G27" s="4450"/>
      <c r="H27" s="4450"/>
      <c r="I27" s="4450"/>
      <c r="J27" s="4450"/>
      <c r="K27" s="4450"/>
      <c r="L27" s="4450"/>
      <c r="M27" s="4450"/>
      <c r="N27" s="4450"/>
      <c r="O27" s="4451"/>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4">
        <f>$A$414</f>
        <v>0</v>
      </c>
      <c r="G28" s="4465"/>
      <c r="H28" s="4465"/>
      <c r="I28" s="4465"/>
      <c r="J28" s="4465"/>
      <c r="K28" s="4465"/>
      <c r="L28" s="4465"/>
      <c r="M28" s="4465"/>
      <c r="N28" s="4465"/>
      <c r="O28" s="4466"/>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9">
        <f>$A$420</f>
        <v>0</v>
      </c>
      <c r="G29" s="4450"/>
      <c r="H29" s="4450"/>
      <c r="I29" s="4450"/>
      <c r="J29" s="4450"/>
      <c r="K29" s="4450"/>
      <c r="L29" s="4450"/>
      <c r="M29" s="4450"/>
      <c r="N29" s="4450"/>
      <c r="O29" s="4451"/>
      <c r="P29" s="1209"/>
      <c r="Q29" s="1964"/>
      <c r="R29" s="1628"/>
      <c r="S29" s="1628"/>
    </row>
    <row r="30" spans="1:35" s="35" customFormat="1" ht="10.5" customHeight="1">
      <c r="A30" s="924" t="s">
        <v>3802</v>
      </c>
      <c r="B30" s="751" t="s">
        <v>6552</v>
      </c>
      <c r="C30" s="866"/>
      <c r="D30" s="925"/>
      <c r="E30" s="1196">
        <f>$O$428</f>
        <v>0</v>
      </c>
      <c r="F30" s="4449">
        <f>$A$430</f>
        <v>0</v>
      </c>
      <c r="G30" s="4450"/>
      <c r="H30" s="4450"/>
      <c r="I30" s="4450"/>
      <c r="J30" s="4450"/>
      <c r="K30" s="4450"/>
      <c r="L30" s="4450"/>
      <c r="M30" s="4450"/>
      <c r="N30" s="4450"/>
      <c r="O30" s="4451"/>
      <c r="P30" s="1209"/>
      <c r="Q30" s="1964"/>
      <c r="R30" s="1628"/>
      <c r="S30" s="1628"/>
      <c r="AA30" s="3592" t="s">
        <v>6562</v>
      </c>
      <c r="AB30" s="3592"/>
      <c r="AC30" s="3592"/>
      <c r="AD30" s="3592"/>
      <c r="AE30" s="3592"/>
      <c r="AF30" s="3592"/>
    </row>
    <row r="31" spans="1:35" s="35" customFormat="1" ht="10.5" customHeight="1">
      <c r="A31" s="926" t="s">
        <v>6555</v>
      </c>
      <c r="B31" s="927" t="s">
        <v>6553</v>
      </c>
      <c r="C31" s="928"/>
      <c r="D31" s="929"/>
      <c r="E31" s="1624">
        <f>$O$434</f>
        <v>0</v>
      </c>
      <c r="F31" s="4464">
        <f>$A$438</f>
        <v>0</v>
      </c>
      <c r="G31" s="4465"/>
      <c r="H31" s="4465"/>
      <c r="I31" s="4465"/>
      <c r="J31" s="4465"/>
      <c r="K31" s="4465"/>
      <c r="L31" s="4465"/>
      <c r="M31" s="4465"/>
      <c r="N31" s="4465"/>
      <c r="O31" s="4466"/>
      <c r="P31" s="1210"/>
      <c r="Q31" s="1964"/>
      <c r="R31" s="1628"/>
      <c r="S31" s="1628"/>
      <c r="X31" s="3592" t="s">
        <v>6563</v>
      </c>
      <c r="Y31" s="3592"/>
      <c r="Z31" s="3592"/>
      <c r="AA31" s="3592"/>
      <c r="AB31" s="3592"/>
      <c r="AC31" s="3592"/>
      <c r="AD31" s="3592" t="s">
        <v>6564</v>
      </c>
      <c r="AE31" s="3592"/>
      <c r="AF31" s="3592"/>
      <c r="AG31" s="3592"/>
      <c r="AH31" s="3592"/>
      <c r="AI31" s="359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6" t="s">
        <v>6124</v>
      </c>
      <c r="H33" s="4516"/>
      <c r="I33" s="4510" t="s">
        <v>6505</v>
      </c>
      <c r="J33" s="4511"/>
      <c r="K33" s="4511"/>
      <c r="L33" s="4512"/>
      <c r="M33" s="4577" t="s">
        <v>6137</v>
      </c>
      <c r="N33" s="4577"/>
      <c r="O33" s="4577"/>
      <c r="P33" s="4577"/>
      <c r="Q33" s="436"/>
      <c r="R33" s="436"/>
      <c r="S33" s="83" t="s">
        <v>6136</v>
      </c>
      <c r="T33" s="436"/>
      <c r="U33" s="436"/>
      <c r="V33" s="436"/>
      <c r="X33" s="4496" t="s">
        <v>6124</v>
      </c>
      <c r="Y33" s="4498"/>
      <c r="Z33" s="4496" t="s">
        <v>6505</v>
      </c>
      <c r="AA33" s="4497"/>
      <c r="AB33" s="4497"/>
      <c r="AC33" s="4498"/>
      <c r="AD33" s="4505" t="s">
        <v>6124</v>
      </c>
      <c r="AE33" s="4506"/>
      <c r="AF33" s="4507" t="s">
        <v>6505</v>
      </c>
      <c r="AG33" s="4505"/>
      <c r="AH33" s="4505"/>
      <c r="AI33" s="4506"/>
    </row>
    <row r="34" spans="1:46" s="115" customFormat="1" ht="11.25" customHeight="1">
      <c r="A34" s="44"/>
      <c r="B34" s="29"/>
      <c r="C34" s="44"/>
      <c r="D34" s="44"/>
      <c r="E34" s="44"/>
      <c r="F34" s="44"/>
      <c r="G34" s="1723">
        <v>0.09</v>
      </c>
      <c r="H34" s="1723">
        <v>0.04</v>
      </c>
      <c r="I34" s="1723">
        <v>0.04</v>
      </c>
      <c r="J34" s="1723" t="s">
        <v>6545</v>
      </c>
      <c r="K34" s="1723" t="s">
        <v>6546</v>
      </c>
      <c r="L34" s="1723" t="s">
        <v>6547</v>
      </c>
      <c r="M34" s="4499" t="str">
        <f>'Part I-Project Identification'!F12</f>
        <v>9% Credit Competitive Round only</v>
      </c>
      <c r="N34" s="4500"/>
      <c r="O34" s="4500"/>
      <c r="P34" s="4501"/>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8" t="s">
        <v>6561</v>
      </c>
      <c r="N40" s="4579"/>
      <c r="O40" s="4579"/>
      <c r="P40" s="4579"/>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8"/>
      <c r="N41" s="4579"/>
      <c r="O41" s="4579"/>
      <c r="P41" s="4579"/>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47</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f>'Part II-Sources of Funds'!$L$14</f>
        <v>0</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12" t="s">
        <v>6736</v>
      </c>
      <c r="N52" s="4713"/>
      <c r="O52" s="4713"/>
      <c r="P52" s="4713"/>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2"/>
      <c r="N53" s="4713"/>
      <c r="O53" s="4713"/>
      <c r="P53" s="4713"/>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4"/>
      <c r="N54" s="4715"/>
      <c r="O54" s="4715"/>
      <c r="P54" s="4715"/>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80" t="s">
        <v>6711</v>
      </c>
      <c r="N55" s="4581"/>
      <c r="O55" s="4581"/>
      <c r="P55" s="4582"/>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3"/>
      <c r="N56" s="4584"/>
      <c r="O56" s="4584"/>
      <c r="P56" s="4585"/>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8" t="s">
        <v>6139</v>
      </c>
      <c r="N58" s="4579"/>
      <c r="O58" s="4579"/>
      <c r="P58" s="4579"/>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10"/>
      <c r="N59" s="4711"/>
      <c r="O59" s="4711"/>
      <c r="P59" s="4711"/>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41" t="s">
        <v>6712</v>
      </c>
      <c r="N60" s="4442"/>
      <c r="O60" s="4442"/>
      <c r="P60" s="4443"/>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4"/>
      <c r="N61" s="4445"/>
      <c r="O61" s="4445"/>
      <c r="P61" s="4446"/>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3" t="s">
        <v>3894</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7" t="s">
        <v>6072</v>
      </c>
      <c r="B74" s="4407"/>
      <c r="C74" s="4407"/>
      <c r="D74" s="4407"/>
      <c r="E74" s="4407"/>
      <c r="F74" s="1176" t="s">
        <v>3390</v>
      </c>
      <c r="G74" s="4565" t="s">
        <v>6074</v>
      </c>
      <c r="H74" s="4565"/>
      <c r="I74" s="4565"/>
      <c r="J74" s="1176" t="s">
        <v>3390</v>
      </c>
      <c r="K74" s="4569" t="s">
        <v>6073</v>
      </c>
      <c r="L74" s="4569"/>
      <c r="M74" s="4569"/>
      <c r="N74" s="4569"/>
      <c r="O74" s="4563" t="s">
        <v>3390</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3808</v>
      </c>
      <c r="R78" s="4717"/>
      <c r="S78" s="1179"/>
      <c r="T78" s="1179"/>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9"/>
      <c r="T79" s="1179"/>
    </row>
    <row r="80" spans="1:20" s="35" customFormat="1" ht="24.75" customHeight="1">
      <c r="A80" s="4452">
        <v>5</v>
      </c>
      <c r="B80" s="4453"/>
      <c r="C80" s="4453"/>
      <c r="D80" s="4453"/>
      <c r="E80" s="4454"/>
      <c r="F80" s="680"/>
      <c r="G80" s="4452">
        <v>5</v>
      </c>
      <c r="H80" s="4453"/>
      <c r="I80" s="4454"/>
      <c r="J80" s="934" t="s">
        <v>3144</v>
      </c>
      <c r="K80" s="4486">
        <v>5</v>
      </c>
      <c r="L80" s="4487"/>
      <c r="M80" s="4487"/>
      <c r="N80" s="4487"/>
      <c r="O80" s="4447"/>
      <c r="P80" s="4448"/>
      <c r="Q80" s="4716"/>
      <c r="R80" s="4717"/>
      <c r="S80" s="1179"/>
      <c r="T80" s="1179"/>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3145</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3146</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3147</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7" t="s">
        <v>3811</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57.567567567567565</v>
      </c>
      <c r="L94" s="4656"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6"/>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7" t="s">
        <v>3815</v>
      </c>
      <c r="I97" s="4458"/>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47</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7" t="s">
        <v>4043</v>
      </c>
      <c r="J106" s="4478"/>
      <c r="K106" s="4478"/>
      <c r="L106" s="4479"/>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80"/>
      <c r="J107" s="4481"/>
      <c r="K107" s="4481"/>
      <c r="L107" s="4482"/>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9" t="s">
        <v>3215</v>
      </c>
      <c r="G123" s="4539"/>
      <c r="H123" s="4539"/>
      <c r="I123" s="4539"/>
      <c r="J123" s="4539" t="s">
        <v>3216</v>
      </c>
      <c r="K123" s="4539"/>
      <c r="L123" s="4539"/>
      <c r="M123" s="4539"/>
      <c r="N123" s="48"/>
      <c r="O123" s="4540" t="s">
        <v>3884</v>
      </c>
      <c r="P123" s="4541"/>
      <c r="Q123" s="86"/>
      <c r="R123" s="879"/>
      <c r="S123" s="879"/>
      <c r="T123" s="879"/>
      <c r="U123" s="879"/>
    </row>
    <row r="124" spans="1:21" s="36" customFormat="1" ht="12" customHeight="1">
      <c r="B124" s="1839"/>
      <c r="C124" s="1182" t="s">
        <v>6570</v>
      </c>
      <c r="E124" s="223"/>
      <c r="F124" s="4490"/>
      <c r="G124" s="4491"/>
      <c r="H124" s="4455"/>
      <c r="I124" s="4456"/>
      <c r="J124" s="4490"/>
      <c r="K124" s="4491"/>
      <c r="L124" s="4455"/>
      <c r="M124" s="4456"/>
      <c r="N124" s="48"/>
      <c r="Q124" s="86"/>
      <c r="R124" s="879"/>
      <c r="S124" s="879"/>
      <c r="T124" s="879"/>
      <c r="U124" s="879"/>
    </row>
    <row r="125" spans="1:21" s="36" customFormat="1" ht="12" customHeight="1">
      <c r="A125" s="1839"/>
      <c r="B125" s="1839"/>
      <c r="C125" s="1839"/>
      <c r="D125" s="236"/>
      <c r="E125" s="1838" t="s">
        <v>6146</v>
      </c>
      <c r="F125" s="4657"/>
      <c r="G125" s="4658"/>
      <c r="H125" s="4664"/>
      <c r="I125" s="4665"/>
      <c r="J125" s="4657"/>
      <c r="K125" s="4658"/>
      <c r="L125" s="4664"/>
      <c r="M125" s="4665"/>
      <c r="N125" s="48"/>
      <c r="O125" s="1292"/>
      <c r="P125" s="916"/>
      <c r="Q125" s="86"/>
      <c r="R125" s="879"/>
      <c r="S125" s="879"/>
      <c r="T125" s="879"/>
      <c r="U125" s="879"/>
    </row>
    <row r="126" spans="1:21" s="36" customFormat="1" ht="12" customHeight="1">
      <c r="A126" s="4670" t="s">
        <v>6679</v>
      </c>
      <c r="B126" s="4670"/>
      <c r="C126" s="1182" t="s">
        <v>6569</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8" t="s">
        <v>3365</v>
      </c>
      <c r="F127" s="4536"/>
      <c r="G127" s="4537"/>
      <c r="H127" s="4662"/>
      <c r="I127" s="4663"/>
      <c r="J127" s="4536"/>
      <c r="K127" s="4537"/>
      <c r="L127" s="4662"/>
      <c r="M127" s="4663"/>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5" customHeight="1">
      <c r="A129" s="1926" t="s">
        <v>6702</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5"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5" customHeight="1">
      <c r="A132" s="112"/>
      <c r="B132" s="29" t="s">
        <v>6147</v>
      </c>
      <c r="D132" s="34"/>
      <c r="F132" s="38"/>
      <c r="M132" s="119"/>
      <c r="N132" s="317"/>
      <c r="O132" s="176"/>
      <c r="P132" s="421"/>
      <c r="Q132" s="86"/>
    </row>
    <row r="133" spans="1:21" s="332" customFormat="1" ht="25.5" customHeight="1">
      <c r="B133" s="350" t="s">
        <v>1844</v>
      </c>
      <c r="C133" s="4538" t="s">
        <v>6677</v>
      </c>
      <c r="D133" s="4538"/>
      <c r="E133" s="4538"/>
      <c r="F133" s="4538"/>
      <c r="G133" s="4538"/>
      <c r="H133" s="4538"/>
      <c r="I133" s="4538"/>
      <c r="J133" s="4538"/>
      <c r="K133" s="4538"/>
      <c r="L133" s="4538"/>
      <c r="M133" s="1848">
        <v>6</v>
      </c>
      <c r="N133" s="374" t="s">
        <v>1844</v>
      </c>
      <c r="O133" s="1910"/>
      <c r="P133" s="1911"/>
      <c r="Q133" s="1212"/>
      <c r="R133" s="795" t="s">
        <v>4058</v>
      </c>
    </row>
    <row r="134" spans="1:21" s="332" customFormat="1" ht="12" customHeight="1">
      <c r="A134" s="456" t="s">
        <v>1275</v>
      </c>
      <c r="B134" s="350" t="s">
        <v>1846</v>
      </c>
      <c r="C134" s="3577" t="s">
        <v>6678</v>
      </c>
      <c r="D134" s="3577"/>
      <c r="E134" s="3577"/>
      <c r="F134" s="3577"/>
      <c r="G134" s="866"/>
      <c r="J134" s="4542" t="s">
        <v>6674</v>
      </c>
      <c r="K134" s="4543"/>
      <c r="L134" s="4544"/>
      <c r="M134" s="458">
        <v>5</v>
      </c>
      <c r="N134" s="348" t="s">
        <v>1846</v>
      </c>
      <c r="O134" s="1923"/>
      <c r="P134" s="1924"/>
      <c r="Q134" s="1810" t="s">
        <v>6670</v>
      </c>
      <c r="R134" s="1176" t="s">
        <v>6263</v>
      </c>
      <c r="S134" s="1176" t="s">
        <v>6144</v>
      </c>
    </row>
    <row r="135" spans="1:21" s="332" customFormat="1" ht="12" customHeight="1">
      <c r="B135" s="350"/>
      <c r="C135" s="3577"/>
      <c r="D135" s="3577"/>
      <c r="E135" s="3577"/>
      <c r="F135" s="3577"/>
      <c r="G135" s="866"/>
      <c r="H135" s="3368" t="s">
        <v>6672</v>
      </c>
      <c r="I135" s="3368"/>
      <c r="J135" s="4545"/>
      <c r="K135" s="4546"/>
      <c r="L135" s="4547"/>
      <c r="M135" s="4260" t="str">
        <f>IF(AND(O134&gt;0,O133&gt;0),"Pick A1 or A2!","")</f>
        <v/>
      </c>
      <c r="N135" s="4260"/>
      <c r="O135" s="4260"/>
      <c r="P135" s="4260"/>
      <c r="Q135" s="798"/>
      <c r="R135" s="1549">
        <v>0.25</v>
      </c>
      <c r="S135" s="1549">
        <v>5</v>
      </c>
    </row>
    <row r="136" spans="1:21" s="332" customFormat="1" ht="12" customHeight="1">
      <c r="B136" s="350"/>
      <c r="C136" s="3577"/>
      <c r="D136" s="3577"/>
      <c r="E136" s="3577"/>
      <c r="F136" s="3577"/>
      <c r="G136" s="866"/>
      <c r="H136" s="1769"/>
      <c r="I136" s="1904"/>
      <c r="J136" s="4545"/>
      <c r="K136" s="4546"/>
      <c r="L136" s="4547"/>
      <c r="Q136" s="798"/>
      <c r="R136" s="1549">
        <v>0.5</v>
      </c>
      <c r="S136" s="1549">
        <v>4.5</v>
      </c>
    </row>
    <row r="137" spans="1:21" s="332" customFormat="1" ht="12" customHeight="1">
      <c r="B137" s="350"/>
      <c r="C137" s="3577"/>
      <c r="D137" s="3577"/>
      <c r="E137" s="3577"/>
      <c r="F137" s="3577"/>
      <c r="G137" s="866"/>
      <c r="J137" s="4545"/>
      <c r="K137" s="4546"/>
      <c r="L137" s="4547"/>
      <c r="M137" s="70"/>
      <c r="N137" s="70"/>
      <c r="O137" s="70"/>
      <c r="P137" s="70"/>
      <c r="Q137" s="397"/>
      <c r="R137" s="1550">
        <v>1</v>
      </c>
      <c r="S137" s="1550">
        <v>4</v>
      </c>
    </row>
    <row r="138" spans="1:21" s="332" customFormat="1" ht="12" customHeight="1">
      <c r="A138" s="112" t="s">
        <v>1843</v>
      </c>
      <c r="B138" s="897" t="s">
        <v>3238</v>
      </c>
      <c r="C138" s="503"/>
      <c r="D138" s="503"/>
      <c r="F138" s="1902" t="s">
        <v>6669</v>
      </c>
      <c r="J138" s="4467" t="s">
        <v>3235</v>
      </c>
      <c r="K138" s="4468"/>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7" t="s">
        <v>6684</v>
      </c>
      <c r="D139" s="3577"/>
      <c r="E139" s="3577"/>
      <c r="F139" s="3577"/>
      <c r="G139" s="866"/>
      <c r="H139" s="3368" t="s">
        <v>6673</v>
      </c>
      <c r="I139" s="3368"/>
      <c r="J139" s="4469" t="s">
        <v>6689</v>
      </c>
      <c r="K139" s="4470"/>
      <c r="L139" s="4471"/>
      <c r="M139" s="458">
        <v>3</v>
      </c>
      <c r="N139" s="348" t="s">
        <v>1844</v>
      </c>
      <c r="O139" s="4705"/>
      <c r="P139" s="4708"/>
      <c r="Q139" s="798" t="str">
        <f>IF(OR($O141=$M141,$O141=0,$O141=""),"","*CHECK!*")</f>
        <v/>
      </c>
      <c r="R139" s="1549">
        <v>0.5</v>
      </c>
      <c r="S139" s="1549">
        <v>2</v>
      </c>
      <c r="U139" s="332"/>
    </row>
    <row r="140" spans="1:21" s="36" customFormat="1" ht="12" customHeight="1">
      <c r="A140" s="120"/>
      <c r="B140" s="891"/>
      <c r="C140" s="3577"/>
      <c r="D140" s="3577"/>
      <c r="E140" s="3577"/>
      <c r="F140" s="3577"/>
      <c r="G140" s="70"/>
      <c r="H140" s="1769"/>
      <c r="I140" s="1904"/>
      <c r="J140" s="4692" t="s">
        <v>6565</v>
      </c>
      <c r="K140" s="4693"/>
      <c r="L140" s="4694"/>
      <c r="M140" s="70"/>
      <c r="O140" s="4706"/>
      <c r="P140" s="4709"/>
      <c r="Q140" s="86"/>
      <c r="R140" s="1550">
        <v>1</v>
      </c>
      <c r="S140" s="1550">
        <v>1</v>
      </c>
      <c r="U140" s="332"/>
    </row>
    <row r="141" spans="1:21" s="36" customFormat="1" ht="11.25" customHeight="1">
      <c r="A141" s="456" t="s">
        <v>1275</v>
      </c>
      <c r="B141" s="1632" t="s">
        <v>1846</v>
      </c>
      <c r="C141" s="3577" t="s">
        <v>6676</v>
      </c>
      <c r="D141" s="3577"/>
      <c r="E141" s="3577"/>
      <c r="F141" s="3577"/>
      <c r="G141" s="3577"/>
      <c r="H141" s="3577"/>
      <c r="I141" s="1903"/>
      <c r="J141" s="4695"/>
      <c r="K141" s="4696"/>
      <c r="L141" s="4697"/>
      <c r="M141" s="458">
        <v>1</v>
      </c>
      <c r="N141" s="348" t="s">
        <v>1846</v>
      </c>
      <c r="O141" s="4492"/>
      <c r="P141" s="4669"/>
      <c r="U141" s="332"/>
    </row>
    <row r="142" spans="1:21" s="36" customFormat="1" ht="11.25" customHeight="1">
      <c r="B142" s="1906"/>
      <c r="C142" s="3577"/>
      <c r="D142" s="3577"/>
      <c r="E142" s="3577"/>
      <c r="F142" s="3577"/>
      <c r="G142" s="3577"/>
      <c r="H142" s="3577"/>
      <c r="I142" s="1903"/>
      <c r="J142" s="4698"/>
      <c r="K142" s="4699"/>
      <c r="L142" s="4700"/>
      <c r="O142" s="4492"/>
      <c r="P142" s="4669"/>
      <c r="T142" s="332"/>
      <c r="U142" s="332"/>
    </row>
    <row r="143" spans="1:21" s="332" customFormat="1" ht="12" customHeight="1">
      <c r="A143" s="1631" t="s">
        <v>1275</v>
      </c>
      <c r="B143" s="1632" t="s">
        <v>2332</v>
      </c>
      <c r="C143" s="3577" t="s">
        <v>6675</v>
      </c>
      <c r="D143" s="3577"/>
      <c r="E143" s="3577"/>
      <c r="F143" s="3577"/>
      <c r="G143" s="3577"/>
      <c r="H143" s="3577"/>
      <c r="I143" s="4704"/>
      <c r="J143" s="4692" t="s">
        <v>6566</v>
      </c>
      <c r="K143" s="4693"/>
      <c r="L143" s="4694"/>
      <c r="M143" s="1848">
        <v>2</v>
      </c>
      <c r="N143" s="374" t="s">
        <v>2332</v>
      </c>
      <c r="O143" s="4667"/>
      <c r="P143" s="4488"/>
      <c r="Q143" s="798"/>
      <c r="R143" s="795"/>
    </row>
    <row r="144" spans="1:21" s="36" customFormat="1" ht="36.75" customHeight="1">
      <c r="C144" s="3577"/>
      <c r="D144" s="3577"/>
      <c r="E144" s="3577"/>
      <c r="F144" s="3577"/>
      <c r="G144" s="3577"/>
      <c r="H144" s="3577"/>
      <c r="I144" s="4704"/>
      <c r="J144" s="4701"/>
      <c r="K144" s="4702"/>
      <c r="L144" s="4703"/>
      <c r="O144" s="4668"/>
      <c r="P144" s="4489"/>
    </row>
    <row r="145" spans="1:19" s="36" customFormat="1" ht="12.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9" t="s">
        <v>6889</v>
      </c>
      <c r="K154" s="4690"/>
      <c r="L154" s="4690"/>
      <c r="M154" s="4691"/>
      <c r="N154"/>
      <c r="O154"/>
      <c r="P154"/>
    </row>
    <row r="155" spans="1:19" ht="12.75" customHeight="1">
      <c r="B155" s="430"/>
      <c r="C155" s="430"/>
      <c r="D155" s="430"/>
      <c r="F155" s="4203" t="s">
        <v>6627</v>
      </c>
      <c r="G155" s="4203"/>
      <c r="H155" s="4203" t="s">
        <v>6269</v>
      </c>
      <c r="I155" s="4203"/>
      <c r="J155" s="4677" t="s">
        <v>6628</v>
      </c>
      <c r="K155" s="4678"/>
      <c r="L155" s="4680" t="s">
        <v>6888</v>
      </c>
      <c r="M155" s="4681"/>
      <c r="N155" s="44"/>
      <c r="O155" s="1866"/>
      <c r="P155" s="1867"/>
    </row>
    <row r="156" spans="1:19" ht="30.75" customHeight="1">
      <c r="B156" s="430"/>
      <c r="C156" s="430"/>
      <c r="D156" s="430"/>
      <c r="F156" s="4203"/>
      <c r="G156" s="4203"/>
      <c r="H156" s="4203"/>
      <c r="I156" s="4203"/>
      <c r="J156" s="4679"/>
      <c r="K156" s="4678"/>
      <c r="L156" s="4203"/>
      <c r="M156" s="4682"/>
      <c r="N156" s="44"/>
      <c r="O156" s="1868"/>
      <c r="P156" s="1867"/>
    </row>
    <row r="157" spans="1:19" ht="12" customHeight="1">
      <c r="B157" s="81" t="s">
        <v>6629</v>
      </c>
      <c r="C157" s="889"/>
      <c r="D157" s="36"/>
      <c r="F157" s="4325"/>
      <c r="G157" s="4325"/>
      <c r="H157" s="4325"/>
      <c r="I157" s="4325"/>
      <c r="J157" s="4679"/>
      <c r="K157" s="4678"/>
      <c r="L157" s="4325"/>
      <c r="M157" s="4683"/>
      <c r="N157" s="44"/>
      <c r="O157" s="1868"/>
      <c r="P157" s="1867"/>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5" t="s">
        <v>6680</v>
      </c>
      <c r="D173" s="4195"/>
      <c r="E173" s="4195"/>
      <c r="F173" s="4195"/>
      <c r="G173" s="4195"/>
      <c r="H173" s="4195"/>
      <c r="I173" s="4195"/>
      <c r="J173" s="4195"/>
      <c r="K173" s="4195"/>
      <c r="L173" s="128"/>
      <c r="M173" s="4661" t="s">
        <v>6090</v>
      </c>
      <c r="N173" s="4661"/>
      <c r="O173" s="4661"/>
      <c r="P173" s="4661"/>
      <c r="S173" s="1628"/>
      <c r="T173" s="1628"/>
      <c r="U173" s="1628"/>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3286</v>
      </c>
      <c r="N174" s="4654"/>
      <c r="O174" s="4654"/>
      <c r="P174" s="4655"/>
      <c r="S174" s="1628"/>
      <c r="T174" s="1628"/>
      <c r="U174" s="1628"/>
    </row>
    <row r="175" spans="1:26" s="26" customFormat="1" ht="12.75" customHeight="1">
      <c r="B175" s="49" t="s">
        <v>2241</v>
      </c>
      <c r="C175" s="29" t="s">
        <v>3956</v>
      </c>
      <c r="D175" s="29"/>
      <c r="E175" s="29"/>
      <c r="F175" s="29"/>
      <c r="G175" s="29"/>
      <c r="H175" s="29"/>
      <c r="L175" s="49" t="s">
        <v>2241</v>
      </c>
      <c r="M175" s="4469" t="s">
        <v>3286</v>
      </c>
      <c r="N175" s="4470"/>
      <c r="O175" s="4470"/>
      <c r="P175" s="4471"/>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9" t="s">
        <v>3286</v>
      </c>
      <c r="N176" s="4470"/>
      <c r="O176" s="4470"/>
      <c r="P176" s="4471"/>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8" t="s">
        <v>3286</v>
      </c>
      <c r="N177" s="4609"/>
      <c r="O177" s="4609"/>
      <c r="P177" s="461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5" t="s">
        <v>6178</v>
      </c>
      <c r="D180" s="4195"/>
      <c r="E180" s="4195"/>
      <c r="F180" s="4195"/>
      <c r="G180" s="4195"/>
      <c r="H180" s="4195"/>
      <c r="I180" s="4195"/>
      <c r="J180" s="4195"/>
      <c r="K180" s="4195"/>
      <c r="L180" s="4195"/>
      <c r="M180" s="1848">
        <v>1</v>
      </c>
      <c r="N180" s="128" t="s">
        <v>4076</v>
      </c>
      <c r="O180" s="1636"/>
      <c r="P180" s="1640"/>
      <c r="Q180" s="1212" t="str">
        <f>IF(OR($O180=$M180,$O180=0,$O180=""),"","*CHECK!*")</f>
        <v/>
      </c>
      <c r="R180" s="795" t="s">
        <v>4058</v>
      </c>
    </row>
    <row r="181" spans="1:26" ht="36.75" customHeight="1">
      <c r="A181" s="396"/>
      <c r="B181" s="117" t="s">
        <v>2241</v>
      </c>
      <c r="C181" s="4195" t="s">
        <v>6179</v>
      </c>
      <c r="D181" s="4195"/>
      <c r="E181" s="4195"/>
      <c r="F181" s="4195"/>
      <c r="G181" s="4195"/>
      <c r="H181" s="4195"/>
      <c r="I181" s="4195"/>
      <c r="J181" s="4195"/>
      <c r="K181" s="4195"/>
      <c r="L181" s="4195"/>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5" customHeight="1">
      <c r="A193" s="107" t="s">
        <v>698</v>
      </c>
      <c r="B193" s="141" t="s">
        <v>6210</v>
      </c>
      <c r="D193" s="26"/>
      <c r="G193" s="370"/>
      <c r="N193"/>
      <c r="O193" s="31"/>
      <c r="P193" s="31"/>
      <c r="Q193" s="241"/>
    </row>
    <row r="194" spans="1:24" s="1323" customFormat="1" ht="12.75" customHeight="1">
      <c r="B194" s="350" t="s">
        <v>1844</v>
      </c>
      <c r="C194" s="4195" t="s">
        <v>6207</v>
      </c>
      <c r="D194" s="4195"/>
      <c r="E194" s="4195"/>
      <c r="F194" s="4195"/>
      <c r="G194" s="4195"/>
      <c r="H194" s="4195"/>
      <c r="I194" s="4195"/>
      <c r="J194" s="4195"/>
      <c r="K194" s="4195"/>
      <c r="L194" s="4195"/>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6211</v>
      </c>
      <c r="D196" s="4195"/>
      <c r="E196" s="4195"/>
      <c r="F196" s="4195"/>
      <c r="G196" s="4195"/>
      <c r="H196" s="4195"/>
      <c r="I196" s="4195"/>
      <c r="J196" s="4195"/>
      <c r="K196" s="4195"/>
      <c r="L196" s="4195"/>
      <c r="M196" s="457"/>
      <c r="N196" s="317" t="s">
        <v>2332</v>
      </c>
      <c r="O196" s="896"/>
      <c r="P196" s="895"/>
      <c r="Q196" s="800"/>
      <c r="V196" s="942"/>
      <c r="W196" s="942"/>
    </row>
    <row r="197" spans="1:24" ht="11.75" customHeight="1">
      <c r="A197" s="107" t="s">
        <v>1962</v>
      </c>
      <c r="B197" s="141" t="s">
        <v>6209</v>
      </c>
      <c r="D197" s="26"/>
      <c r="G197" s="370"/>
      <c r="N197"/>
      <c r="O197" s="31"/>
      <c r="P197" s="31"/>
      <c r="Q197" s="241"/>
    </row>
    <row r="198" spans="1:24" s="1323" customFormat="1" ht="23.25" customHeight="1">
      <c r="B198" s="350" t="s">
        <v>1844</v>
      </c>
      <c r="C198" s="4195" t="s">
        <v>6212</v>
      </c>
      <c r="D198" s="4195"/>
      <c r="E198" s="4195"/>
      <c r="F198" s="4195"/>
      <c r="G198" s="4195"/>
      <c r="H198" s="4195"/>
      <c r="I198" s="4195"/>
      <c r="J198" s="4195"/>
      <c r="K198" s="4195"/>
      <c r="L198" s="4195"/>
      <c r="M198" s="884" t="s">
        <v>1962</v>
      </c>
      <c r="N198" s="317" t="s">
        <v>1844</v>
      </c>
      <c r="O198" s="894"/>
      <c r="P198" s="893"/>
      <c r="Q198" s="947"/>
      <c r="V198" s="1599"/>
      <c r="W198" s="1599"/>
    </row>
    <row r="199" spans="1:24" s="26" customFormat="1" ht="23.25" customHeight="1">
      <c r="A199" s="396"/>
      <c r="B199" s="350" t="s">
        <v>1846</v>
      </c>
      <c r="C199" s="4195" t="s">
        <v>6253</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5"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32" t="s">
        <v>3204</v>
      </c>
      <c r="K208" s="4633"/>
      <c r="L208" s="4634"/>
      <c r="M208" s="4635"/>
      <c r="N208" s="53"/>
      <c r="R208" s="86"/>
      <c r="S208" s="70"/>
    </row>
    <row r="209" spans="1:27" ht="12.75" customHeight="1">
      <c r="C209" s="685" t="s">
        <v>6255</v>
      </c>
      <c r="D209" s="44"/>
      <c r="J209" s="4605"/>
      <c r="K209" s="4606"/>
      <c r="L209" s="4606"/>
      <c r="M209" s="4607"/>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7" t="s">
        <v>6218</v>
      </c>
      <c r="F212" s="4437"/>
      <c r="G212" s="4437"/>
      <c r="H212" s="4437"/>
      <c r="I212" s="1203" t="s">
        <v>6245</v>
      </c>
      <c r="J212" s="4437" t="s">
        <v>6218</v>
      </c>
      <c r="K212" s="4437"/>
      <c r="L212" s="4437"/>
      <c r="M212" s="4437"/>
      <c r="N212"/>
      <c r="O212"/>
      <c r="P212"/>
    </row>
    <row r="213" spans="1:27" ht="13.5" customHeight="1">
      <c r="B213" s="400"/>
      <c r="C213" s="29" t="s">
        <v>6216</v>
      </c>
      <c r="E213" s="4438"/>
      <c r="F213" s="4439"/>
      <c r="G213" s="4439"/>
      <c r="H213" s="4440"/>
      <c r="I213" s="1869" t="s">
        <v>906</v>
      </c>
      <c r="J213" s="4602"/>
      <c r="K213" s="4603"/>
      <c r="L213" s="4603"/>
      <c r="M213" s="4604"/>
      <c r="N213"/>
      <c r="Q213" s="24"/>
      <c r="R213" s="24"/>
      <c r="S213" s="24"/>
      <c r="T213" s="24"/>
      <c r="U213" s="24"/>
      <c r="V213" s="24"/>
      <c r="W213" s="24"/>
      <c r="X213" s="24"/>
      <c r="Y213" s="24"/>
      <c r="Z213" s="24"/>
      <c r="AA213" s="1870"/>
    </row>
    <row r="214" spans="1:27" ht="13.5" customHeight="1">
      <c r="C214" s="29" t="s">
        <v>6217</v>
      </c>
      <c r="E214" s="4550"/>
      <c r="F214" s="4551"/>
      <c r="G214" s="4551"/>
      <c r="H214" s="4552"/>
      <c r="I214" s="1908"/>
      <c r="J214" s="4431"/>
      <c r="K214" s="4432"/>
      <c r="L214" s="4432"/>
      <c r="M214" s="4433"/>
      <c r="N214" s="1212" t="str">
        <f>IF(P211&lt;=N211,"","*CHECK!*")</f>
        <v/>
      </c>
      <c r="Q214" s="24"/>
      <c r="R214" s="24"/>
      <c r="S214" s="24"/>
      <c r="T214" s="24"/>
      <c r="U214" s="24"/>
      <c r="V214" s="24"/>
      <c r="W214" s="24"/>
      <c r="X214" s="24"/>
      <c r="Y214" s="24"/>
      <c r="Z214" s="24"/>
      <c r="AA214" s="1870"/>
    </row>
    <row r="215" spans="1:27" ht="13.5" customHeight="1">
      <c r="B215" s="400"/>
      <c r="C215" s="29" t="s">
        <v>6214</v>
      </c>
      <c r="E215" s="4550"/>
      <c r="F215" s="4551"/>
      <c r="G215" s="4551"/>
      <c r="H215" s="4552"/>
      <c r="I215" s="1908"/>
      <c r="J215" s="4431"/>
      <c r="K215" s="4432"/>
      <c r="L215" s="4432"/>
      <c r="M215" s="4433"/>
      <c r="N215"/>
      <c r="Q215" s="24"/>
      <c r="R215" s="24"/>
      <c r="S215" s="24"/>
      <c r="T215" s="24"/>
      <c r="U215" s="24"/>
      <c r="V215" s="24"/>
      <c r="W215" s="24"/>
      <c r="X215" s="24"/>
      <c r="Y215" s="24"/>
      <c r="Z215" s="24"/>
      <c r="AA215" s="1870"/>
    </row>
    <row r="216" spans="1:27" ht="13.5" customHeight="1">
      <c r="B216" s="44"/>
      <c r="C216" s="29" t="s">
        <v>6215</v>
      </c>
      <c r="E216" s="4593"/>
      <c r="F216" s="4594"/>
      <c r="G216" s="4594"/>
      <c r="H216" s="4595"/>
      <c r="I216" s="1909"/>
      <c r="J216" s="4599"/>
      <c r="K216" s="4600"/>
      <c r="L216" s="4600"/>
      <c r="M216" s="4601"/>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0.21276595744680851</v>
      </c>
      <c r="J226" s="370" t="s">
        <v>3959</v>
      </c>
      <c r="K226" s="4597" t="str">
        <f>'Part V-Revenues &amp; Expenses'!$O$53</f>
        <v>40% of Units at 60% of AMI</v>
      </c>
      <c r="L226" s="4598"/>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91"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91"/>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5"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62"/>
      <c r="J244" s="4462"/>
      <c r="L244" s="1662" t="s">
        <v>6259</v>
      </c>
      <c r="M244" s="4463"/>
      <c r="N244" s="4463"/>
    </row>
    <row r="245" spans="1:27" s="32" customFormat="1" ht="11.25" customHeight="1">
      <c r="A245" s="306"/>
      <c r="B245" s="350" t="s">
        <v>1846</v>
      </c>
      <c r="C245" s="29" t="s">
        <v>6258</v>
      </c>
      <c r="E245" s="33" t="s">
        <v>3309</v>
      </c>
      <c r="G245" s="1644"/>
      <c r="H245" s="48" t="s">
        <v>574</v>
      </c>
      <c r="I245" s="4592"/>
      <c r="J245" s="4592"/>
      <c r="L245" s="1662" t="s">
        <v>6259</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6615</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6616</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6230</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3"/>
      <c r="C279" s="4614"/>
      <c r="D279" s="4614"/>
      <c r="E279" s="4614"/>
      <c r="F279" s="4614"/>
      <c r="G279" s="4614"/>
      <c r="H279" s="4614"/>
      <c r="I279" s="4614"/>
      <c r="J279" s="4614"/>
      <c r="K279" s="4614"/>
      <c r="L279" s="4614"/>
      <c r="M279" s="4614"/>
      <c r="N279" s="4614"/>
      <c r="O279" s="4614"/>
      <c r="P279" s="4615"/>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5"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41"/>
      <c r="J287" s="4642"/>
      <c r="K287" s="4643"/>
      <c r="L287" s="4644"/>
      <c r="M287" s="456"/>
      <c r="O287" s="1919"/>
      <c r="P287" s="1920"/>
      <c r="Q287" s="86"/>
      <c r="R287" s="1630"/>
      <c r="S287" s="1630"/>
      <c r="T287" s="1630"/>
      <c r="U287" s="1630"/>
      <c r="V287" s="1630"/>
      <c r="W287" s="36"/>
      <c r="X287" s="36"/>
    </row>
    <row r="288" spans="1:24" s="70" customFormat="1" ht="11.25" customHeight="1">
      <c r="A288" s="120"/>
      <c r="C288" s="29" t="s">
        <v>6691</v>
      </c>
      <c r="G288" s="147"/>
      <c r="I288" s="4645"/>
      <c r="J288" s="4646"/>
      <c r="M288" s="456"/>
      <c r="O288" s="1919"/>
      <c r="P288" s="1920"/>
      <c r="Q288" s="86"/>
      <c r="R288" s="1630"/>
      <c r="S288" s="1630"/>
      <c r="T288" s="1630"/>
      <c r="U288" s="1630"/>
      <c r="V288" s="1630"/>
      <c r="W288" s="36"/>
      <c r="X288" s="36"/>
    </row>
    <row r="289" spans="1:24" s="70" customFormat="1" ht="11.25" customHeight="1">
      <c r="A289" s="120"/>
      <c r="C289" s="29" t="s">
        <v>6693</v>
      </c>
      <c r="G289" s="147"/>
      <c r="I289" s="4647" t="s">
        <v>6694</v>
      </c>
      <c r="J289" s="4648"/>
      <c r="K289" s="4649"/>
      <c r="L289" s="4650"/>
      <c r="M289" s="456"/>
      <c r="O289" s="4651" t="s">
        <v>3149</v>
      </c>
      <c r="P289" s="4651" t="s">
        <v>3150</v>
      </c>
      <c r="Q289" s="86"/>
      <c r="R289" s="1630"/>
      <c r="S289" s="1630"/>
      <c r="T289" s="1630"/>
      <c r="U289" s="1630"/>
      <c r="V289" s="1630"/>
      <c r="W289" s="36"/>
      <c r="X289" s="36"/>
    </row>
    <row r="290" spans="1:24" s="36" customFormat="1" ht="11.25" customHeight="1">
      <c r="A290" s="120"/>
      <c r="B290" s="29" t="s">
        <v>6581</v>
      </c>
      <c r="D290" s="34"/>
      <c r="H290" s="141"/>
      <c r="M290" s="119"/>
      <c r="N290" s="48"/>
      <c r="O290" s="4652"/>
      <c r="P290" s="4652"/>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5" t="s">
        <v>6587</v>
      </c>
      <c r="D296" s="4195"/>
      <c r="E296" s="4195"/>
      <c r="F296" s="4195"/>
      <c r="G296" s="4195"/>
      <c r="H296" s="4195"/>
      <c r="I296" s="4195"/>
      <c r="J296" s="4195"/>
      <c r="K296" s="4195"/>
      <c r="L296" s="4195"/>
      <c r="M296" s="4195"/>
      <c r="N296" s="150" t="s">
        <v>1844</v>
      </c>
      <c r="O296" s="1287"/>
      <c r="P296" s="1288"/>
      <c r="Q296" s="331"/>
      <c r="R296" s="1840"/>
      <c r="S296" s="1840"/>
      <c r="T296" s="1840"/>
      <c r="U296" s="1840"/>
    </row>
    <row r="297" spans="1:24" s="332" customFormat="1" ht="21.75" customHeight="1" thickBot="1">
      <c r="A297" s="1608"/>
      <c r="B297" s="350" t="s">
        <v>1846</v>
      </c>
      <c r="C297" s="4195" t="s">
        <v>6588</v>
      </c>
      <c r="D297" s="4195"/>
      <c r="E297" s="4195"/>
      <c r="F297" s="4195"/>
      <c r="G297" s="4195"/>
      <c r="H297" s="4195"/>
      <c r="I297" s="4195"/>
      <c r="J297" s="4195"/>
      <c r="K297" s="4195"/>
      <c r="L297" s="4195"/>
      <c r="M297" s="4195"/>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5" t="s">
        <v>6590</v>
      </c>
      <c r="D299" s="4195"/>
      <c r="E299" s="4195"/>
      <c r="F299" s="4195"/>
      <c r="G299" s="4195"/>
      <c r="H299" s="4195"/>
      <c r="I299" s="4195"/>
      <c r="J299" s="4195"/>
      <c r="K299" s="4195"/>
      <c r="L299" s="4195"/>
      <c r="M299" s="4195"/>
      <c r="N299" s="150" t="s">
        <v>1844</v>
      </c>
      <c r="O299" s="1287"/>
      <c r="P299" s="1288"/>
      <c r="Q299" s="331"/>
      <c r="R299" s="1840"/>
      <c r="S299" s="1840"/>
      <c r="T299" s="1840"/>
      <c r="U299" s="1840"/>
    </row>
    <row r="300" spans="1:24" s="332" customFormat="1" ht="10.5" customHeight="1">
      <c r="A300" s="1608"/>
      <c r="B300" s="350" t="s">
        <v>1846</v>
      </c>
      <c r="C300" s="4195" t="s">
        <v>6591</v>
      </c>
      <c r="D300" s="4195"/>
      <c r="E300" s="4195"/>
      <c r="F300" s="4195"/>
      <c r="G300" s="4195"/>
      <c r="H300" s="4195"/>
      <c r="I300" s="4195"/>
      <c r="J300" s="4195"/>
      <c r="K300" s="4195"/>
      <c r="L300" s="4195"/>
      <c r="M300" s="4195"/>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5" t="s">
        <v>6594</v>
      </c>
      <c r="D304" s="4195"/>
      <c r="E304" s="4195"/>
      <c r="F304" s="4195"/>
      <c r="G304" s="4195"/>
      <c r="H304" s="4195"/>
      <c r="I304" s="4195"/>
      <c r="J304" s="4195"/>
      <c r="K304" s="4195"/>
      <c r="L304" s="4195"/>
      <c r="M304" s="4195"/>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5"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9"/>
      <c r="J311" s="4460"/>
      <c r="K311" s="4460"/>
      <c r="L311" s="446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5"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3274</v>
      </c>
      <c r="L345" s="4590"/>
      <c r="M345" s="4590"/>
      <c r="N345" s="49" t="s">
        <v>2241</v>
      </c>
      <c r="O345" s="299"/>
      <c r="P345" s="420"/>
      <c r="R345" s="4586"/>
      <c r="S345" s="4586"/>
    </row>
    <row r="346" spans="1:20" s="79" customFormat="1" ht="12.75" customHeight="1">
      <c r="B346" s="49" t="s">
        <v>2242</v>
      </c>
      <c r="C346" s="29" t="s">
        <v>3273</v>
      </c>
      <c r="L346" s="4590"/>
      <c r="M346" s="4590"/>
      <c r="N346" s="49" t="s">
        <v>2242</v>
      </c>
      <c r="O346" s="299"/>
      <c r="P346" s="420"/>
      <c r="R346" s="4586"/>
      <c r="S346" s="4586"/>
    </row>
    <row r="347" spans="1:20" s="79" customFormat="1" ht="33.75" customHeight="1">
      <c r="B347" s="117" t="s">
        <v>2243</v>
      </c>
      <c r="C347" s="4195" t="s">
        <v>6596</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5" t="s">
        <v>1848</v>
      </c>
      <c r="K351" s="4535"/>
      <c r="M351" s="4535" t="s">
        <v>1848</v>
      </c>
      <c r="N351" s="4535"/>
      <c r="O351" s="4535"/>
      <c r="P351" s="4535"/>
      <c r="R351" s="1836"/>
      <c r="S351" s="1836"/>
      <c r="T351" s="1426"/>
    </row>
    <row r="352" spans="1:20" s="36" customFormat="1" ht="12.75" customHeight="1">
      <c r="A352" s="151"/>
      <c r="B352" s="150" t="s">
        <v>6598</v>
      </c>
      <c r="C352" s="29" t="s">
        <v>1388</v>
      </c>
      <c r="I352" s="49" t="s">
        <v>2240</v>
      </c>
      <c r="J352" s="4525"/>
      <c r="K352" s="4526"/>
      <c r="L352" s="49" t="s">
        <v>2240</v>
      </c>
      <c r="M352" s="4629"/>
      <c r="N352" s="4630"/>
      <c r="O352" s="4630"/>
      <c r="P352" s="4631"/>
      <c r="R352" s="307"/>
    </row>
    <row r="353" spans="1:18" ht="12.75" customHeight="1">
      <c r="A353" s="152"/>
      <c r="B353" s="117" t="s">
        <v>2241</v>
      </c>
      <c r="C353" s="29" t="s">
        <v>3155</v>
      </c>
      <c r="I353" s="117" t="s">
        <v>2241</v>
      </c>
      <c r="J353" s="4530"/>
      <c r="K353" s="4531"/>
      <c r="L353" s="117" t="s">
        <v>2241</v>
      </c>
      <c r="M353" s="4532"/>
      <c r="N353" s="4533"/>
      <c r="O353" s="4533"/>
      <c r="P353" s="4534"/>
      <c r="R353" s="307"/>
    </row>
    <row r="354" spans="1:18" ht="12.75" customHeight="1">
      <c r="B354" s="49" t="s">
        <v>2242</v>
      </c>
      <c r="C354" s="29" t="s">
        <v>3953</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6232</v>
      </c>
      <c r="I358" s="49" t="s">
        <v>2261</v>
      </c>
      <c r="J358" s="4530"/>
      <c r="K358" s="4531"/>
      <c r="L358" s="49" t="s">
        <v>2261</v>
      </c>
      <c r="M358" s="1601"/>
      <c r="N358" s="1602"/>
      <c r="O358" s="1602"/>
      <c r="P358" s="1603"/>
      <c r="R358" s="307"/>
    </row>
    <row r="359" spans="1:18" ht="12.75" customHeight="1">
      <c r="A359" s="152"/>
      <c r="B359" s="48" t="s">
        <v>2262</v>
      </c>
      <c r="C359" s="29" t="s">
        <v>3154</v>
      </c>
      <c r="I359" s="48" t="s">
        <v>2262</v>
      </c>
      <c r="J359" s="4530"/>
      <c r="K359" s="4531"/>
      <c r="L359" s="48" t="s">
        <v>2262</v>
      </c>
      <c r="M359" s="4532"/>
      <c r="N359" s="4533"/>
      <c r="O359" s="4533"/>
      <c r="P359" s="4534"/>
      <c r="R359" s="307"/>
    </row>
    <row r="360" spans="1:18" ht="12.75" customHeight="1">
      <c r="B360" s="48" t="s">
        <v>2263</v>
      </c>
      <c r="C360" s="29" t="s">
        <v>6599</v>
      </c>
      <c r="I360" s="48" t="s">
        <v>2263</v>
      </c>
      <c r="J360" s="4530"/>
      <c r="K360" s="4531"/>
      <c r="L360" s="48" t="s">
        <v>2263</v>
      </c>
      <c r="M360" s="4532"/>
      <c r="N360" s="4533"/>
      <c r="O360" s="4533"/>
      <c r="P360" s="4534"/>
      <c r="R360" s="307"/>
    </row>
    <row r="361" spans="1:18" ht="12.75" customHeight="1">
      <c r="B361" s="48" t="s">
        <v>3156</v>
      </c>
      <c r="C361" s="29" t="s">
        <v>3825</v>
      </c>
      <c r="I361" s="48" t="s">
        <v>3156</v>
      </c>
      <c r="J361" s="4530"/>
      <c r="K361" s="4531"/>
      <c r="L361" s="48" t="s">
        <v>3156</v>
      </c>
      <c r="M361" s="4532"/>
      <c r="N361" s="4533"/>
      <c r="O361" s="4533"/>
      <c r="P361" s="4534"/>
      <c r="R361" s="307"/>
    </row>
    <row r="362" spans="1:18" ht="12.75" customHeight="1" thickBot="1">
      <c r="B362" s="48" t="s">
        <v>6233</v>
      </c>
      <c r="C362" s="29" t="s">
        <v>6234</v>
      </c>
      <c r="I362" s="48" t="s">
        <v>6233</v>
      </c>
      <c r="J362" s="4530"/>
      <c r="K362" s="4531"/>
      <c r="L362" s="48" t="s">
        <v>6233</v>
      </c>
      <c r="M362" s="4620"/>
      <c r="N362" s="4621"/>
      <c r="O362" s="4621"/>
      <c r="P362" s="4622"/>
      <c r="R362" s="307"/>
    </row>
    <row r="363" spans="1:18" ht="12.75" customHeight="1" thickBot="1">
      <c r="B363" s="919" t="s">
        <v>6600</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9">
        <f>'Part V-Revenues &amp; Expenses'!$P$67</f>
        <v>47</v>
      </c>
      <c r="K365" s="4640"/>
      <c r="L365" s="430"/>
      <c r="M365" s="393"/>
      <c r="N365" s="393"/>
      <c r="O365" s="881"/>
      <c r="P365" s="393"/>
    </row>
    <row r="366" spans="1:18" ht="13.5" customHeight="1">
      <c r="C366" s="230"/>
      <c r="D366" s="230"/>
      <c r="E366" s="230"/>
      <c r="F366" s="349" t="s">
        <v>6236</v>
      </c>
      <c r="J366" s="4637">
        <f>IF(J365=0,0,J363/J365)</f>
        <v>0</v>
      </c>
      <c r="K366" s="4638"/>
      <c r="M366" s="4527">
        <f>IF($J365=0,0,$M363/$J365)</f>
        <v>0</v>
      </c>
      <c r="N366" s="4528"/>
      <c r="O366" s="4528"/>
      <c r="P366" s="4529"/>
    </row>
    <row r="367" spans="1:18" s="36" customFormat="1" ht="12.75" customHeight="1">
      <c r="C367" s="230"/>
      <c r="D367" s="230"/>
      <c r="E367" s="230"/>
      <c r="F367" s="44" t="s">
        <v>6237</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5" t="s">
        <v>6601</v>
      </c>
      <c r="D370" s="4195"/>
      <c r="E370" s="4195"/>
      <c r="F370" s="4195"/>
      <c r="G370" s="4195"/>
      <c r="H370" s="4195"/>
      <c r="I370" s="4195"/>
      <c r="J370" s="4195"/>
      <c r="K370" s="4195"/>
      <c r="L370" s="4195"/>
      <c r="M370" s="4195"/>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7" t="s">
        <v>6602</v>
      </c>
      <c r="C383" s="4217"/>
      <c r="D383" s="4217"/>
      <c r="E383" s="4217"/>
      <c r="F383" s="4217"/>
      <c r="G383" s="4217"/>
      <c r="H383" s="4217"/>
      <c r="I383" s="4217"/>
      <c r="J383" s="4217"/>
      <c r="K383" s="4217"/>
      <c r="L383" s="4217"/>
      <c r="M383" s="4619" t="s">
        <v>3886</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47</v>
      </c>
      <c r="P385" s="4624"/>
      <c r="Q385" s="147"/>
    </row>
    <row r="386" spans="1:19" s="332" customFormat="1" ht="12" customHeight="1">
      <c r="B386" s="4616"/>
      <c r="C386" s="4616"/>
      <c r="D386" s="4616"/>
      <c r="E386" s="4616"/>
      <c r="F386" s="4616"/>
      <c r="G386" s="4616"/>
      <c r="H386" s="4616"/>
      <c r="I386" s="4616"/>
      <c r="J386" s="4616"/>
      <c r="K386" s="4616"/>
      <c r="L386" s="4616"/>
      <c r="M386" s="1194" t="s">
        <v>2518</v>
      </c>
      <c r="N386" s="333"/>
      <c r="O386" s="4617">
        <f>IF(O385=0,0,O384/O385)</f>
        <v>0</v>
      </c>
      <c r="P386" s="4618"/>
      <c r="Q386" s="147"/>
    </row>
    <row r="387" spans="1:19" s="36" customFormat="1" ht="105.75" customHeight="1">
      <c r="A387" s="411"/>
      <c r="B387" s="4246" t="s">
        <v>3414</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47</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6744</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6"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6698</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25" customHeight="1">
      <c r="A446" s="4209"/>
      <c r="B446" s="4210"/>
      <c r="C446" s="4210"/>
      <c r="D446" s="4210"/>
      <c r="E446" s="4210"/>
      <c r="F446" s="4210"/>
      <c r="G446" s="4210"/>
      <c r="H446" s="4210"/>
      <c r="I446" s="4210"/>
      <c r="J446" s="4210"/>
      <c r="K446" s="4210"/>
      <c r="L446" s="4210"/>
      <c r="M446" s="4210"/>
      <c r="N446" s="4210"/>
      <c r="O446" s="4210"/>
      <c r="P446" s="4211"/>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0" t="s">
        <v>1407</v>
      </c>
      <c r="H466" s="4520"/>
      <c r="I466" s="4520"/>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507" customWidth="1"/>
    <col min="4" max="4" width="15.5" style="507" customWidth="1"/>
    <col min="5" max="5" width="4.6640625" style="507" customWidth="1"/>
    <col min="6" max="9" width="12.6640625" style="507" customWidth="1"/>
    <col min="10" max="10" width="5.33203125" style="507" customWidth="1"/>
    <col min="11" max="16384" width="9.33203125" style="507"/>
  </cols>
  <sheetData>
    <row r="1" spans="1:16">
      <c r="A1" s="4728" t="s">
        <v>2581</v>
      </c>
      <c r="B1" s="4728"/>
      <c r="C1" s="4728"/>
      <c r="D1" s="4728"/>
      <c r="E1" s="4728"/>
      <c r="F1" s="4728"/>
      <c r="G1" s="4728"/>
      <c r="H1" s="4728"/>
      <c r="I1" s="4728"/>
      <c r="J1" s="4728"/>
    </row>
    <row r="2" spans="1:16">
      <c r="A2" s="4728" t="str">
        <f>'Sensitivity Analysis'!C8</f>
        <v>Fairhaven on Campbellton</v>
      </c>
      <c r="B2" s="4728"/>
      <c r="C2" s="4728"/>
      <c r="D2" s="4728"/>
      <c r="E2" s="4728"/>
      <c r="F2" s="4728"/>
      <c r="G2" s="4728"/>
      <c r="H2" s="4728"/>
      <c r="I2" s="4728"/>
      <c r="J2" s="4728"/>
    </row>
    <row r="3" spans="1:16">
      <c r="A3" s="4728" t="str">
        <f>'Subsidy Layering Memo'!F14</f>
        <v>Atlanta, Fulton</v>
      </c>
      <c r="B3" s="4728"/>
      <c r="C3" s="4728"/>
      <c r="D3" s="4728"/>
      <c r="E3" s="4728"/>
      <c r="F3" s="4728"/>
      <c r="G3" s="4728"/>
      <c r="H3" s="4728"/>
      <c r="I3" s="4728"/>
      <c r="J3" s="4728"/>
    </row>
    <row r="4" spans="1:16">
      <c r="A4" s="4729" t="s">
        <v>2582</v>
      </c>
      <c r="B4" s="4728"/>
      <c r="C4" s="4728"/>
      <c r="D4" s="4728"/>
      <c r="E4" s="4728"/>
      <c r="F4" s="4728"/>
      <c r="G4" s="4728"/>
      <c r="H4" s="4728"/>
      <c r="I4" s="4728"/>
      <c r="J4" s="4728"/>
    </row>
    <row r="5" spans="1:16" ht="5.25" customHeight="1"/>
    <row r="6" spans="1:16" ht="5.25" customHeight="1"/>
    <row r="7" spans="1:16">
      <c r="A7" s="4730" t="s">
        <v>2583</v>
      </c>
      <c r="B7" s="4730"/>
      <c r="C7" s="4731"/>
      <c r="M7" s="4732"/>
      <c r="N7" s="4732"/>
      <c r="O7" s="4732"/>
      <c r="P7" s="4732"/>
    </row>
    <row r="8" spans="1:16" ht="57" customHeight="1">
      <c r="A8" s="4733" t="s">
        <v>6151</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47 units set aside for &lt;&lt; Select PROPOSED Tenancy &gt;&gt;.</v>
      </c>
      <c r="B9" s="4733"/>
      <c r="C9" s="4733"/>
      <c r="D9" s="4733"/>
      <c r="E9" s="4733"/>
      <c r="F9" s="4733"/>
      <c r="G9" s="4733"/>
      <c r="H9" s="4733"/>
      <c r="I9" s="4733"/>
      <c r="J9" s="4733"/>
      <c r="K9" s="508"/>
    </row>
    <row r="10" spans="1:16">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c r="A14" s="509" t="s">
        <v>2585</v>
      </c>
      <c r="B14" s="510"/>
    </row>
    <row r="15" spans="1:16">
      <c r="A15" s="507" t="s">
        <v>2586</v>
      </c>
      <c r="D15" s="1020" t="s">
        <v>2587</v>
      </c>
    </row>
    <row r="16" spans="1:16">
      <c r="A16" s="507" t="s">
        <v>2588</v>
      </c>
      <c r="D16" s="1254">
        <f>'Sensitivity Analysis'!C25</f>
        <v>2650000</v>
      </c>
    </row>
    <row r="17" spans="1:11">
      <c r="A17" s="511" t="s">
        <v>2589</v>
      </c>
      <c r="D17" s="1255">
        <f>'Sensitivity Analysis'!C13</f>
        <v>47</v>
      </c>
    </row>
    <row r="18" spans="1:11" ht="14.25" customHeight="1"/>
    <row r="19" spans="1:11">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10533947 via the syndication of the 2021 Federal LIHTC allocation of 1225000 per annum. will make a capital contribution totaling 6736826 via the syndication of the 2021 State LIHTC allocation of 1225000 per annum.</v>
      </c>
      <c r="B21" s="4733"/>
      <c r="C21" s="4733"/>
      <c r="D21" s="4733"/>
      <c r="E21" s="4733"/>
      <c r="F21" s="4733"/>
      <c r="G21" s="4733"/>
      <c r="H21" s="4733"/>
      <c r="I21" s="4733"/>
      <c r="J21" s="4733"/>
    </row>
    <row r="22" spans="1:11" ht="43.5" customHeight="1">
      <c r="A22" s="4737" t="str">
        <f>'Subsidy Layering Memo'!A68</f>
        <v xml:space="preserve">The total equity price per credit will be 1.41 (0.86 Federal tax credit and 0.55 State tax credit) for a (X%) ownership interest of the Federal Credits and a (X%) ownership interest of the State Credits. </v>
      </c>
      <c r="B22" s="4737"/>
      <c r="C22" s="4737"/>
      <c r="D22" s="4737"/>
      <c r="E22" s="4737"/>
      <c r="F22" s="4737"/>
      <c r="G22" s="4737"/>
      <c r="H22" s="4737"/>
      <c r="I22" s="4737"/>
      <c r="J22" s="4737"/>
    </row>
    <row r="23" spans="1:11">
      <c r="A23" s="509" t="s">
        <v>6152</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c r="A27" s="510" t="s">
        <v>2591</v>
      </c>
    </row>
    <row r="29" spans="1:11" ht="17"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Fairhaven on Campbellton</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6">
      <c r="A8" s="576" t="s">
        <v>2647</v>
      </c>
      <c r="B8" s="576"/>
      <c r="C8" s="4739" t="str">
        <f>'Part I-Project Identification'!$F$25</f>
        <v>Fairhaven on Campbellton</v>
      </c>
      <c r="D8" s="4739"/>
      <c r="E8" s="1978" t="str">
        <f>'Part I-Project Identification'!$O$7</f>
        <v>2023-0</v>
      </c>
      <c r="F8" s="576" t="s">
        <v>2648</v>
      </c>
      <c r="G8" s="567"/>
      <c r="H8" s="4739" t="str">
        <f>CONCATENATE('Part I-Project Identification'!$F$26,", ",'Part I-Project Identification'!$J$26)</f>
        <v>Atlanta, Fulton</v>
      </c>
      <c r="I8" s="4739"/>
      <c r="J8" s="4739"/>
      <c r="K8" s="4739"/>
      <c r="L8" s="567"/>
      <c r="M8" s="545"/>
    </row>
    <row r="9" spans="1:14" ht="16">
      <c r="A9" s="576" t="s">
        <v>2650</v>
      </c>
      <c r="B9" s="576"/>
      <c r="C9" s="4739" t="s">
        <v>1646</v>
      </c>
      <c r="D9" s="4739"/>
      <c r="E9" s="567"/>
      <c r="F9" s="576" t="s">
        <v>2651</v>
      </c>
      <c r="G9" s="567"/>
      <c r="H9" s="4740"/>
      <c r="I9" s="4740"/>
      <c r="J9" s="4740"/>
      <c r="K9" s="4740"/>
      <c r="L9" s="4740"/>
      <c r="M9" s="545"/>
    </row>
    <row r="10" spans="1:14" ht="16">
      <c r="A10" s="576" t="s">
        <v>2653</v>
      </c>
      <c r="B10" s="567"/>
      <c r="C10" s="4741"/>
      <c r="D10" s="4741"/>
      <c r="E10" s="567"/>
      <c r="F10" s="576" t="s">
        <v>3131</v>
      </c>
      <c r="G10" s="567"/>
      <c r="H10" s="4738"/>
      <c r="I10" s="4738"/>
      <c r="J10" s="4738"/>
      <c r="K10" s="4738"/>
      <c r="L10" s="4738"/>
    </row>
    <row r="11" spans="1:14" ht="16">
      <c r="A11" s="576" t="s">
        <v>2654</v>
      </c>
      <c r="B11" s="567"/>
      <c r="C11" s="4742"/>
      <c r="D11" s="4742"/>
      <c r="E11" s="1992"/>
      <c r="F11" s="576" t="s">
        <v>606</v>
      </c>
      <c r="G11" s="567"/>
      <c r="H11" s="4738"/>
      <c r="I11" s="4738"/>
      <c r="J11" s="4738"/>
      <c r="K11" s="4738"/>
      <c r="L11" s="4738"/>
      <c r="M11" s="4743"/>
      <c r="N11" s="4744"/>
    </row>
    <row r="12" spans="1:14" ht="16">
      <c r="A12" s="576" t="s">
        <v>2655</v>
      </c>
      <c r="B12" s="567"/>
      <c r="C12" s="4742"/>
      <c r="D12" s="4742"/>
      <c r="E12" s="567"/>
      <c r="F12" s="576" t="s">
        <v>2656</v>
      </c>
      <c r="G12" s="567"/>
      <c r="H12" s="4742"/>
      <c r="I12" s="4742"/>
      <c r="J12" s="4742"/>
      <c r="K12" s="4742"/>
      <c r="L12" s="4742"/>
      <c r="M12" s="507"/>
    </row>
    <row r="13" spans="1:14" ht="16">
      <c r="A13" s="576" t="s">
        <v>2657</v>
      </c>
      <c r="B13" s="576"/>
      <c r="C13" s="1979">
        <f>'Part V-Revenues &amp; Expenses'!$P$67</f>
        <v>47</v>
      </c>
      <c r="D13" s="26"/>
      <c r="E13" s="1980">
        <f>'Part V-Revenues &amp; Expenses'!$P$63</f>
        <v>37</v>
      </c>
      <c r="F13" s="576" t="s">
        <v>3451</v>
      </c>
      <c r="G13" s="567"/>
      <c r="H13" s="1990"/>
      <c r="I13" s="1982"/>
      <c r="J13" s="1982"/>
      <c r="K13" s="1981">
        <f>'Part V-Revenues &amp; Expenses'!$K$175</f>
        <v>40550</v>
      </c>
      <c r="L13" s="567"/>
      <c r="M13" s="507"/>
    </row>
    <row r="14" spans="1:14" ht="16">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5" t="s">
        <v>3099</v>
      </c>
      <c r="I14" s="4745"/>
      <c r="J14" s="4745"/>
      <c r="K14" s="4745" t="s">
        <v>3099</v>
      </c>
      <c r="L14" s="4745"/>
      <c r="M14" s="507"/>
    </row>
    <row r="15" spans="1:14" ht="16">
      <c r="A15" s="576" t="s">
        <v>2659</v>
      </c>
      <c r="B15" s="567"/>
      <c r="C15" s="1983" t="s">
        <v>1646</v>
      </c>
      <c r="D15" s="567"/>
      <c r="E15" s="567"/>
      <c r="F15" s="576" t="s">
        <v>2950</v>
      </c>
      <c r="G15" s="567"/>
      <c r="H15" s="1978" t="str">
        <f>'Part I-Project Identification'!K28</f>
        <v>Urban</v>
      </c>
      <c r="I15" s="567"/>
      <c r="J15" s="567"/>
      <c r="K15" s="567"/>
      <c r="L15" s="567"/>
      <c r="M15" s="507"/>
    </row>
    <row r="16" spans="1:14" ht="1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6">
      <c r="A17" s="567"/>
      <c r="B17" s="567"/>
      <c r="C17" s="567"/>
      <c r="D17" s="567"/>
      <c r="E17" s="567"/>
      <c r="F17" s="567"/>
      <c r="G17" s="567"/>
      <c r="H17" s="567"/>
      <c r="I17" s="567"/>
      <c r="J17" s="567"/>
      <c r="K17" s="567"/>
      <c r="L17" s="567"/>
      <c r="M17" s="507"/>
    </row>
    <row r="18" spans="1:13" ht="16">
      <c r="A18" s="576" t="s">
        <v>2952</v>
      </c>
      <c r="B18" s="567"/>
      <c r="C18" s="1985">
        <f>'Part III-A-Uses of Funds'!$G$146</f>
        <v>20365239</v>
      </c>
      <c r="D18" s="1986">
        <f>IF(C18=0,"",$C$29/C18)</f>
        <v>0.13012368772102306</v>
      </c>
      <c r="E18" s="567" t="s">
        <v>2953</v>
      </c>
      <c r="F18" s="576" t="s">
        <v>6749</v>
      </c>
      <c r="G18" s="567"/>
      <c r="H18" s="4746">
        <f>'Part III-A-Uses of Funds'!$C$49</f>
        <v>12960890</v>
      </c>
      <c r="I18" s="4746"/>
      <c r="J18" s="1987">
        <f>IF(H18=0,"",$C$29/H18)</f>
        <v>0.20446126770615289</v>
      </c>
      <c r="K18" s="4739" t="s">
        <v>2955</v>
      </c>
      <c r="L18" s="4739"/>
      <c r="M18" s="507"/>
    </row>
    <row r="19" spans="1:13" ht="16">
      <c r="A19" s="576" t="s">
        <v>2660</v>
      </c>
      <c r="B19" s="567"/>
      <c r="C19" s="1988">
        <f>C18/C13</f>
        <v>433302.95744680852</v>
      </c>
      <c r="D19" s="567"/>
      <c r="E19" s="567"/>
      <c r="F19" s="576" t="s">
        <v>2660</v>
      </c>
      <c r="G19" s="567"/>
      <c r="H19" s="4747">
        <f>H18/C13</f>
        <v>275763.61702127662</v>
      </c>
      <c r="I19" s="4747"/>
      <c r="J19" s="567"/>
      <c r="K19" s="567"/>
      <c r="L19" s="567"/>
      <c r="M19" s="507"/>
    </row>
    <row r="20" spans="1:13" ht="16">
      <c r="A20" s="576" t="s">
        <v>2661</v>
      </c>
      <c r="B20" s="567"/>
      <c r="C20" s="1978">
        <f>C18/K13</f>
        <v>502.22537607891491</v>
      </c>
      <c r="D20" s="1989"/>
      <c r="E20" s="1989"/>
      <c r="F20" s="576" t="s">
        <v>2661</v>
      </c>
      <c r="G20" s="567"/>
      <c r="H20" s="4739">
        <f>H18/K13</f>
        <v>319.62737361282365</v>
      </c>
      <c r="I20" s="4747"/>
      <c r="J20" s="567"/>
      <c r="K20" s="567"/>
      <c r="L20" s="56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Legacy Bank - Construction-to-Perm (Loan B)</v>
      </c>
      <c r="C25" s="553">
        <f>'Part II-Sources of Funds'!I40</f>
        <v>2650000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1976">
        <f>SUM(C25:C27)</f>
        <v>2650000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17270773</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2650000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0.13012368772102306</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0.20446126770615289</v>
      </c>
      <c r="D40" s="507"/>
      <c r="E40" s="507"/>
      <c r="F40" s="510"/>
      <c r="G40" s="510" t="s">
        <v>2681</v>
      </c>
      <c r="H40" s="507"/>
      <c r="I40" s="507"/>
      <c r="K40" s="555">
        <f>C30/C18</f>
        <v>0.84805157454817992</v>
      </c>
      <c r="L40" s="507"/>
      <c r="M40" s="507"/>
    </row>
    <row r="46" spans="1:13" ht="16">
      <c r="A46" s="550" t="s">
        <v>2682</v>
      </c>
      <c r="B46" s="540"/>
      <c r="C46" s="540"/>
      <c r="D46" s="540"/>
      <c r="E46" s="540"/>
      <c r="F46" s="540"/>
      <c r="G46" s="540"/>
      <c r="H46" s="540"/>
      <c r="I46" s="540"/>
      <c r="J46" s="540"/>
      <c r="K46" s="540"/>
      <c r="L46" s="540"/>
      <c r="M46" s="507"/>
    </row>
    <row r="47" spans="1:13" ht="16">
      <c r="A47" s="550" t="str">
        <f>C8</f>
        <v>Fairhaven on Campbellton</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48" t="s">
        <v>2685</v>
      </c>
      <c r="L50" s="4749"/>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609024</v>
      </c>
      <c r="D52" s="568"/>
      <c r="E52" s="568">
        <f>$C$52</f>
        <v>609024</v>
      </c>
      <c r="F52" s="568"/>
      <c r="G52" s="568">
        <f>$C$52</f>
        <v>609024</v>
      </c>
      <c r="H52" s="568"/>
      <c r="I52" s="568">
        <f>$C$52</f>
        <v>609024</v>
      </c>
      <c r="J52" s="568"/>
      <c r="K52" s="568">
        <f>$C$52</f>
        <v>609024</v>
      </c>
      <c r="L52" s="569"/>
      <c r="M52"/>
      <c r="N52"/>
    </row>
    <row r="53" spans="1:14" s="507" customFormat="1" ht="18.75" customHeight="1">
      <c r="B53" s="567" t="s">
        <v>2689</v>
      </c>
      <c r="C53" s="568">
        <f>'Part VI-Pro Forma'!B16</f>
        <v>12180.48</v>
      </c>
      <c r="D53" s="568"/>
      <c r="E53" s="568">
        <f>$C$53</f>
        <v>12180.48</v>
      </c>
      <c r="F53" s="568"/>
      <c r="G53" s="568">
        <f>$C$53</f>
        <v>12180.48</v>
      </c>
      <c r="H53" s="568"/>
      <c r="I53" s="568">
        <f>$C$53</f>
        <v>12180.48</v>
      </c>
      <c r="J53" s="568"/>
      <c r="K53" s="568">
        <f>$C$53</f>
        <v>12180.48</v>
      </c>
      <c r="L53" s="569"/>
      <c r="M53"/>
      <c r="N53"/>
    </row>
    <row r="54" spans="1:14" s="507" customFormat="1" ht="18.75" customHeight="1">
      <c r="B54" s="567" t="s">
        <v>2687</v>
      </c>
      <c r="C54" s="568">
        <f>'Part VI-Pro Forma'!B17</f>
        <v>-43484.313600000001</v>
      </c>
      <c r="D54" s="568"/>
      <c r="E54" s="568">
        <f>-($C$52+E53)*F50</f>
        <v>-62120.448000000004</v>
      </c>
      <c r="F54" s="570"/>
      <c r="G54" s="568">
        <f>-($C$52+G53)*0.07</f>
        <v>-43484.313600000001</v>
      </c>
      <c r="H54" s="568"/>
      <c r="I54" s="568">
        <f>-($C$52+I53)*0.07</f>
        <v>-43484.313600000001</v>
      </c>
      <c r="J54" s="568"/>
      <c r="K54" s="568">
        <f>-($C$52+K53)*L54</f>
        <v>-62120.448000000004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577720.16639999999</v>
      </c>
      <c r="D56" s="568"/>
      <c r="E56" s="574">
        <f>SUM(E52:E55)</f>
        <v>559084.03200000001</v>
      </c>
      <c r="F56" s="568"/>
      <c r="G56" s="574">
        <f>SUM(G52:G55)</f>
        <v>577720.16639999999</v>
      </c>
      <c r="H56" s="568"/>
      <c r="I56" s="574">
        <f>SUM(I52:I55)</f>
        <v>577720.16639999999</v>
      </c>
      <c r="J56" s="568"/>
      <c r="K56" s="574">
        <f>SUM(K52:K55)</f>
        <v>559084.03200000001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9331</v>
      </c>
      <c r="D58" s="568"/>
      <c r="E58" s="568">
        <f>$C$58</f>
        <v>9331</v>
      </c>
      <c r="F58" s="568"/>
      <c r="G58" s="568">
        <f>$C$58</f>
        <v>9331</v>
      </c>
      <c r="H58" s="568"/>
      <c r="I58" s="568">
        <f>$C$58</f>
        <v>9331</v>
      </c>
      <c r="J58" s="568"/>
      <c r="K58" s="568">
        <f>$C$58</f>
        <v>9331</v>
      </c>
      <c r="L58" s="569"/>
      <c r="M58"/>
      <c r="N58"/>
    </row>
    <row r="59" spans="1:14" s="507" customFormat="1" ht="18.75" customHeight="1">
      <c r="B59" s="567" t="s">
        <v>2692</v>
      </c>
      <c r="C59" s="568">
        <f>+'Part V-Revenues &amp; Expenses'!F244</f>
        <v>8225</v>
      </c>
      <c r="D59" s="568"/>
      <c r="E59" s="568">
        <f>$C$59</f>
        <v>8225</v>
      </c>
      <c r="F59" s="568"/>
      <c r="G59" s="568">
        <f>$C$59</f>
        <v>8225</v>
      </c>
      <c r="H59" s="568"/>
      <c r="I59" s="568">
        <f>$C$59</f>
        <v>8225</v>
      </c>
      <c r="J59" s="568"/>
      <c r="K59" s="568">
        <f>$C$59*(1+$L$59)</f>
        <v>8554</v>
      </c>
      <c r="L59" s="575">
        <v>0.04</v>
      </c>
      <c r="M59"/>
      <c r="N59"/>
    </row>
    <row r="60" spans="1:14" s="507" customFormat="1" ht="18.75" customHeight="1">
      <c r="B60" s="567" t="s">
        <v>1297</v>
      </c>
      <c r="C60" s="568">
        <f>+'Part V-Revenues &amp; Expenses'!L237</f>
        <v>8000</v>
      </c>
      <c r="D60" s="568"/>
      <c r="E60" s="568">
        <f>$C$60</f>
        <v>8000</v>
      </c>
      <c r="F60" s="568"/>
      <c r="G60" s="568">
        <f>$C$60</f>
        <v>8000</v>
      </c>
      <c r="H60" s="568"/>
      <c r="I60" s="568">
        <f>$C$60*(1+$J$50)</f>
        <v>8240</v>
      </c>
      <c r="J60" s="570"/>
      <c r="K60" s="568">
        <f>$C$60*(1+$J$50)</f>
        <v>8240</v>
      </c>
      <c r="L60" s="571">
        <v>0.03</v>
      </c>
      <c r="M60"/>
      <c r="N60"/>
    </row>
    <row r="61" spans="1:14" s="507" customFormat="1" ht="18.75" customHeight="1">
      <c r="B61" s="567" t="s">
        <v>1298</v>
      </c>
      <c r="C61" s="568">
        <f>+'Part V-Revenues &amp; Expenses'!L244</f>
        <v>52840</v>
      </c>
      <c r="D61" s="568"/>
      <c r="E61" s="568">
        <f>$C$61</f>
        <v>52840</v>
      </c>
      <c r="F61" s="568"/>
      <c r="G61" s="568">
        <f>$C$61*(1+H50)</f>
        <v>55482</v>
      </c>
      <c r="H61" s="570"/>
      <c r="I61" s="568">
        <f>$C$61</f>
        <v>52840</v>
      </c>
      <c r="J61" s="568"/>
      <c r="K61" s="568">
        <f>$C$61*(1+$L$61)</f>
        <v>55482</v>
      </c>
      <c r="L61" s="571">
        <v>0.05</v>
      </c>
      <c r="M61"/>
      <c r="N61"/>
    </row>
    <row r="62" spans="1:14" s="507" customFormat="1" ht="18.75" customHeight="1">
      <c r="B62" s="573" t="s">
        <v>2693</v>
      </c>
      <c r="C62" s="574">
        <f>SUM(C58:C61)</f>
        <v>78396</v>
      </c>
      <c r="D62" s="568"/>
      <c r="E62" s="574">
        <f>SUM(E58:E61)</f>
        <v>78396</v>
      </c>
      <c r="F62" s="568"/>
      <c r="G62" s="574">
        <f>SUM(G58:G61)</f>
        <v>81038</v>
      </c>
      <c r="H62" s="568"/>
      <c r="I62" s="574">
        <f>SUM(I58:I61)</f>
        <v>78636</v>
      </c>
      <c r="J62" s="568"/>
      <c r="K62" s="574">
        <f>SUM(K58:K61)</f>
        <v>81607</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499324.16639999999</v>
      </c>
      <c r="D64" s="577"/>
      <c r="E64" s="577">
        <f>E56-E62</f>
        <v>480688.03200000001</v>
      </c>
      <c r="F64" s="577"/>
      <c r="G64" s="577">
        <f>G56-G62</f>
        <v>496682.16639999999</v>
      </c>
      <c r="H64" s="577"/>
      <c r="I64" s="577">
        <f>I56-I62</f>
        <v>499084.16639999999</v>
      </c>
      <c r="J64" s="577"/>
      <c r="K64" s="577">
        <f>K56-K62</f>
        <v>477477.03200000001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499324.16639999999</v>
      </c>
      <c r="D70" s="577"/>
      <c r="E70" s="580">
        <f>E64-E66-E68</f>
        <v>480688.03200000001</v>
      </c>
      <c r="F70" s="577"/>
      <c r="G70" s="580">
        <f>G64-G66-G68</f>
        <v>496682.16639999999</v>
      </c>
      <c r="H70" s="577"/>
      <c r="I70" s="580">
        <f>I64-I66-I68</f>
        <v>499084.16639999999</v>
      </c>
      <c r="J70" s="577"/>
      <c r="K70" s="580">
        <f>K64-K66-K68</f>
        <v>477477.03200000001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2.661903516010494</v>
      </c>
      <c r="D72" s="581"/>
      <c r="E72" s="1004">
        <f>-E70/E75</f>
        <v>2.5625540452210824</v>
      </c>
      <c r="F72" s="581"/>
      <c r="G72" s="1004">
        <f>-G70/G75</f>
        <v>2.6478189802268486</v>
      </c>
      <c r="H72" s="581"/>
      <c r="I72" s="1004">
        <f>-I70/I75</f>
        <v>2.6606240729415784</v>
      </c>
      <c r="J72" s="581"/>
      <c r="K72" s="1004">
        <f>-K70/K75</f>
        <v>2.5454361631615496</v>
      </c>
      <c r="L72" s="4"/>
      <c r="M72" s="10"/>
      <c r="N72" s="10"/>
    </row>
    <row r="73" spans="1:14" s="507" customFormat="1" ht="18.75" customHeight="1">
      <c r="A73"/>
      <c r="B73" s="567" t="s">
        <v>2699</v>
      </c>
      <c r="C73" s="1005">
        <f>C76/C62</f>
        <v>3.9765109085454746</v>
      </c>
      <c r="D73" s="582"/>
      <c r="E73" s="1005">
        <f>E76/E62</f>
        <v>3.7387929841615781</v>
      </c>
      <c r="F73" s="582"/>
      <c r="G73" s="1005">
        <f>G76/G62</f>
        <v>3.814266753699882</v>
      </c>
      <c r="H73" s="582"/>
      <c r="I73" s="1005">
        <f>I76/I62</f>
        <v>3.9613224119529358</v>
      </c>
      <c r="J73" s="582"/>
      <c r="K73" s="1005">
        <f>K76/K62</f>
        <v>3.5523351524542144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-187581.61721366894</v>
      </c>
      <c r="D75" s="568"/>
      <c r="E75" s="568">
        <f>$C$75</f>
        <v>-187581.61721366894</v>
      </c>
      <c r="F75" s="568"/>
      <c r="G75" s="568">
        <f>$C$75</f>
        <v>-187581.61721366894</v>
      </c>
      <c r="H75" s="568"/>
      <c r="I75" s="568">
        <f>$C$75</f>
        <v>-187581.61721366894</v>
      </c>
      <c r="J75" s="568"/>
      <c r="K75" s="568">
        <f>$C$75</f>
        <v>-187581.61721366894</v>
      </c>
      <c r="L75" s="26"/>
      <c r="M75"/>
      <c r="N75"/>
    </row>
    <row r="76" spans="1:14" s="507" customFormat="1" ht="18.75" customHeight="1">
      <c r="A76"/>
      <c r="B76" s="567" t="s">
        <v>1096</v>
      </c>
      <c r="C76" s="568">
        <f>C70+C75</f>
        <v>311742.54918633105</v>
      </c>
      <c r="D76" s="568"/>
      <c r="E76" s="568">
        <f>E70+E75</f>
        <v>293106.41478633106</v>
      </c>
      <c r="F76" s="568"/>
      <c r="G76" s="568">
        <f>G70+G75</f>
        <v>309100.54918633105</v>
      </c>
      <c r="H76" s="568"/>
      <c r="I76" s="568">
        <f>I70+I75</f>
        <v>311502.54918633105</v>
      </c>
      <c r="J76" s="568"/>
      <c r="K76" s="568">
        <f>K70+K75</f>
        <v>289895.41478633106</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5" style="516" customWidth="1"/>
    <col min="8" max="8" width="8.5" style="516" customWidth="1"/>
    <col min="9" max="9" width="28.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Fairhaven on Campbellton</v>
      </c>
    </row>
    <row r="13" spans="1:10">
      <c r="A13" s="517"/>
      <c r="D13" s="516" t="s">
        <v>2604</v>
      </c>
      <c r="F13" s="1024" t="str">
        <f>'Sensitivity Analysis'!E8</f>
        <v>2023-0</v>
      </c>
    </row>
    <row r="14" spans="1:10">
      <c r="A14" s="517"/>
      <c r="D14" s="516" t="s">
        <v>2605</v>
      </c>
      <c r="F14" s="1024" t="str">
        <f>'Sensitivity Analysis'!H8</f>
        <v>Atlanta, Fulton</v>
      </c>
    </row>
    <row r="15" spans="1:10">
      <c r="A15" s="517"/>
      <c r="D15" s="516" t="s">
        <v>2946</v>
      </c>
      <c r="F15" s="4759">
        <f>'Sensitivity Analysis'!$C$25</f>
        <v>2650000</v>
      </c>
      <c r="G15" s="4759"/>
      <c r="H15" s="4759"/>
    </row>
    <row r="16" spans="1:10">
      <c r="A16" s="517"/>
      <c r="D16" s="519" t="s">
        <v>2606</v>
      </c>
      <c r="F16" s="520">
        <f>'Sensitivity Analysis'!C13</f>
        <v>47</v>
      </c>
      <c r="G16" s="521" t="s">
        <v>2947</v>
      </c>
      <c r="H16" s="972">
        <f>'Sensitivity Analysis'!E13</f>
        <v>37</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6154</v>
      </c>
    </row>
    <row r="22" spans="1:18" ht="111.75" customHeight="1">
      <c r="A22" s="4751" t="s">
        <v>3098</v>
      </c>
      <c r="B22" s="4751"/>
      <c r="C22" s="4751"/>
      <c r="D22" s="4751"/>
      <c r="E22" s="4751"/>
      <c r="F22" s="4751"/>
      <c r="G22" s="4751"/>
      <c r="H22" s="4751"/>
      <c r="I22" s="4751"/>
      <c r="J22" s="4751"/>
      <c r="K22" s="4750" t="s">
        <v>3897</v>
      </c>
      <c r="L22" s="4750"/>
      <c r="M22" s="4750"/>
      <c r="N22" s="4750"/>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c r="A26" s="522" t="s">
        <v>6153</v>
      </c>
    </row>
    <row r="27" spans="1:18" ht="14.25" customHeight="1">
      <c r="A27" s="4753" t="s">
        <v>6155</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1"/>
      <c r="B35" s="1251"/>
      <c r="C35" s="1251"/>
      <c r="D35" s="1251"/>
      <c r="E35" s="1251"/>
      <c r="F35" s="1251"/>
      <c r="G35" s="1251"/>
      <c r="H35" s="1251"/>
      <c r="I35" s="1251"/>
      <c r="J35" s="1251"/>
    </row>
    <row r="36" spans="1:10" ht="19.5" customHeight="1">
      <c r="A36" s="4752" t="s">
        <v>6156</v>
      </c>
      <c r="B36" s="4752"/>
      <c r="C36" s="4752"/>
      <c r="D36" s="1249"/>
      <c r="E36" s="1249"/>
      <c r="F36" s="1249"/>
      <c r="G36" s="1249"/>
      <c r="H36" s="1249"/>
      <c r="I36" s="1249"/>
      <c r="J36" s="1249"/>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9"/>
      <c r="B45" s="1249"/>
      <c r="C45" s="1249"/>
      <c r="D45" s="1249"/>
      <c r="E45" s="1249"/>
      <c r="F45" s="1249"/>
      <c r="G45" s="1249"/>
      <c r="H45" s="1249"/>
      <c r="I45" s="1249"/>
      <c r="J45" s="1249"/>
    </row>
    <row r="46" spans="1:10">
      <c r="A46" s="522" t="s">
        <v>2607</v>
      </c>
    </row>
    <row r="47" spans="1:10" ht="135" customHeight="1">
      <c r="A47" s="4737" t="s">
        <v>6157</v>
      </c>
      <c r="B47" s="4737"/>
      <c r="C47" s="4737"/>
      <c r="D47" s="4737"/>
      <c r="E47" s="4737"/>
      <c r="F47" s="4737"/>
      <c r="G47" s="4737"/>
      <c r="H47" s="4737"/>
      <c r="I47" s="4737"/>
      <c r="J47" s="4737"/>
    </row>
    <row r="48" spans="1:10" ht="6" customHeight="1">
      <c r="A48" s="1250"/>
      <c r="B48" s="1250"/>
      <c r="C48" s="1250"/>
      <c r="D48" s="1250"/>
      <c r="E48" s="1250"/>
      <c r="F48" s="1250"/>
      <c r="G48" s="1250"/>
      <c r="H48" s="1250"/>
      <c r="I48" s="1250"/>
      <c r="J48" s="1250"/>
    </row>
    <row r="49" spans="1:12">
      <c r="A49" s="522" t="s">
        <v>2608</v>
      </c>
    </row>
    <row r="50" spans="1:12" ht="33" customHeight="1">
      <c r="A50" s="4733" t="s">
        <v>3452</v>
      </c>
      <c r="B50" s="4735"/>
      <c r="C50" s="4735"/>
      <c r="D50" s="4735"/>
      <c r="E50" s="4735"/>
      <c r="F50" s="4735"/>
      <c r="G50" s="4735"/>
      <c r="H50" s="4735"/>
      <c r="I50" s="4735"/>
      <c r="J50" s="4733"/>
    </row>
    <row r="51" spans="1:12" ht="3" customHeight="1"/>
    <row r="52" spans="1:12" ht="72.75" customHeight="1">
      <c r="A52" s="4733" t="s">
        <v>3453</v>
      </c>
      <c r="B52" s="4733"/>
      <c r="C52" s="4733"/>
      <c r="D52" s="4733"/>
      <c r="E52" s="4733"/>
      <c r="F52" s="4733"/>
      <c r="G52" s="4733"/>
      <c r="H52" s="4733"/>
      <c r="I52" s="4733"/>
      <c r="J52" s="4733"/>
    </row>
    <row r="53" spans="1:12" ht="3" customHeight="1">
      <c r="A53" s="1249"/>
      <c r="B53" s="1249"/>
      <c r="C53" s="1249"/>
      <c r="D53" s="1249"/>
      <c r="E53" s="1249"/>
      <c r="F53" s="1249"/>
      <c r="G53" s="1249"/>
      <c r="H53" s="1249"/>
      <c r="I53" s="1249"/>
      <c r="J53" s="1249"/>
    </row>
    <row r="54" spans="1:12" ht="56.25" customHeight="1">
      <c r="A54" s="4733" t="s">
        <v>3454</v>
      </c>
      <c r="B54" s="4733"/>
      <c r="C54" s="4733"/>
      <c r="D54" s="4733"/>
      <c r="E54" s="4733"/>
      <c r="F54" s="4733"/>
      <c r="G54" s="4733"/>
      <c r="H54" s="4733"/>
      <c r="I54" s="4733"/>
      <c r="J54" s="4733"/>
    </row>
    <row r="55" spans="1:12" ht="3" customHeight="1">
      <c r="A55" s="1249"/>
      <c r="B55" s="1249"/>
      <c r="C55" s="1249"/>
      <c r="D55" s="1249"/>
      <c r="E55" s="1249"/>
      <c r="F55" s="1249"/>
      <c r="G55" s="1249"/>
      <c r="H55" s="1249"/>
      <c r="I55" s="1249"/>
      <c r="J55" s="1249"/>
    </row>
    <row r="56" spans="1:12" ht="49.5" customHeight="1">
      <c r="A56" s="4733" t="s">
        <v>3455</v>
      </c>
      <c r="B56" s="4733"/>
      <c r="C56" s="4733"/>
      <c r="D56" s="4733"/>
      <c r="E56" s="4733"/>
      <c r="F56" s="4733"/>
      <c r="G56" s="4733"/>
      <c r="H56" s="4733"/>
      <c r="I56" s="4733"/>
      <c r="J56" s="1249"/>
    </row>
    <row r="57" spans="1:12" ht="3" customHeight="1">
      <c r="A57" s="1249"/>
      <c r="B57" s="1249"/>
      <c r="C57" s="1249"/>
      <c r="D57" s="1249"/>
      <c r="E57" s="1249"/>
      <c r="F57" s="1249"/>
      <c r="G57" s="1249"/>
      <c r="H57" s="1249"/>
      <c r="I57" s="1249"/>
      <c r="J57" s="1249"/>
    </row>
    <row r="58" spans="1:12" ht="54.75" customHeight="1">
      <c r="A58" s="4764" t="s">
        <v>2956</v>
      </c>
      <c r="B58" s="4733"/>
      <c r="C58" s="4733"/>
      <c r="D58" s="4733"/>
      <c r="E58" s="4733"/>
      <c r="F58" s="4733"/>
      <c r="G58" s="4733"/>
      <c r="H58" s="4733"/>
      <c r="I58" s="4733"/>
      <c r="J58" s="1249"/>
    </row>
    <row r="59" spans="1:12" ht="3" customHeight="1">
      <c r="A59" s="1249"/>
      <c r="B59" s="1249"/>
      <c r="C59" s="1249"/>
      <c r="D59" s="1249"/>
      <c r="E59" s="1249"/>
      <c r="F59" s="1249"/>
      <c r="G59" s="1249"/>
      <c r="H59" s="1249"/>
      <c r="I59" s="1249"/>
      <c r="J59" s="1249"/>
    </row>
    <row r="60" spans="1:12" ht="62.25" customHeight="1">
      <c r="A60" s="4733" t="s">
        <v>3456</v>
      </c>
      <c r="B60" s="4733"/>
      <c r="C60" s="4733"/>
      <c r="D60" s="4733"/>
      <c r="E60" s="4733"/>
      <c r="F60" s="4733"/>
      <c r="G60" s="4733"/>
      <c r="H60" s="4733"/>
      <c r="I60" s="4733"/>
      <c r="J60" s="4733"/>
    </row>
    <row r="61" spans="1:12" ht="3" customHeight="1"/>
    <row r="62" spans="1:12" ht="73.5" customHeight="1">
      <c r="A62" s="4733" t="s">
        <v>3457</v>
      </c>
      <c r="B62" s="4733"/>
      <c r="C62" s="4733"/>
      <c r="D62" s="4733"/>
      <c r="E62" s="4733"/>
      <c r="F62" s="4733"/>
      <c r="G62" s="4733"/>
      <c r="H62" s="4733"/>
      <c r="I62" s="4733"/>
      <c r="J62" s="4733"/>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51" t="s">
        <v>2610</v>
      </c>
      <c r="B65" s="4751"/>
      <c r="C65" s="4751"/>
      <c r="D65" s="4751"/>
      <c r="E65" s="4751"/>
      <c r="F65" s="4751"/>
      <c r="G65" s="4751"/>
      <c r="H65" s="4751"/>
      <c r="I65" s="4751"/>
      <c r="J65" s="4751"/>
      <c r="L65" s="524">
        <f>'Closing term sheet'!C135</f>
        <v>424017</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10533947 via the syndication of the 2021 Federal LIHTC allocation of 1225000 per annum. will make a capital contribution totaling 6736826 via the syndication of the 2021 State LIHTC allocation of 1225000 per annum.</v>
      </c>
      <c r="B67" s="4733"/>
      <c r="C67" s="4733"/>
      <c r="D67" s="4733"/>
      <c r="E67" s="4733"/>
      <c r="F67" s="4733"/>
      <c r="G67" s="4733"/>
      <c r="H67" s="4733"/>
      <c r="I67" s="4733"/>
      <c r="J67" s="529"/>
      <c r="L67" s="530">
        <f>'Part II-Sources of Funds'!I51</f>
        <v>10533947</v>
      </c>
      <c r="M67" s="531">
        <f>'Part III-A-Uses of Funds'!$J$191</f>
        <v>1225000</v>
      </c>
      <c r="N67" s="532">
        <f>'Part III-A-Uses of Funds'!N182</f>
        <v>0.86</v>
      </c>
      <c r="O67" s="530">
        <f>'Part II-Sources of Funds'!I52</f>
        <v>6736826</v>
      </c>
      <c r="P67" s="531">
        <f>M67</f>
        <v>1225000</v>
      </c>
      <c r="Q67" s="532">
        <f>'Part III-A-Uses of Funds'!Q182</f>
        <v>0.55000000000000004</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(0.86 Federal tax credit and 0.55 State tax credit) for a (X%) ownership interest of the Federal Credits and a (X%) ownership interest of the State Credits. </v>
      </c>
      <c r="B68" s="4737"/>
      <c r="C68" s="4737"/>
      <c r="D68" s="4737"/>
      <c r="E68" s="4737"/>
      <c r="F68" s="4737"/>
      <c r="G68" s="4737"/>
      <c r="H68" s="4737"/>
      <c r="I68" s="4737"/>
      <c r="J68" s="529"/>
      <c r="L68" s="1552"/>
      <c r="M68" s="1552"/>
      <c r="N68" s="635"/>
      <c r="O68" s="1552"/>
      <c r="P68" s="1552"/>
      <c r="Q68" s="635"/>
    </row>
    <row r="69" spans="1:17" ht="18.75" customHeight="1">
      <c r="A69" s="533" t="s">
        <v>2611</v>
      </c>
    </row>
    <row r="70" spans="1:17" ht="177" customHeight="1">
      <c r="A70" s="4733" t="s">
        <v>6158</v>
      </c>
      <c r="B70" s="4733"/>
      <c r="C70" s="4733"/>
      <c r="D70" s="4733"/>
      <c r="E70" s="4733"/>
      <c r="F70" s="4733"/>
      <c r="G70" s="4733"/>
      <c r="H70" s="4733"/>
      <c r="I70" s="4733"/>
      <c r="J70" s="4733"/>
      <c r="L70" s="534">
        <f>'Part VI-Pro Forma'!K72</f>
        <v>2706479.1597250816</v>
      </c>
      <c r="M70" s="4758" t="s">
        <v>3097</v>
      </c>
      <c r="N70" s="4750"/>
    </row>
    <row r="71" spans="1:17" ht="6" customHeight="1">
      <c r="A71" s="522"/>
    </row>
    <row r="72" spans="1:17">
      <c r="A72" s="522" t="s">
        <v>2612</v>
      </c>
    </row>
    <row r="73" spans="1:17" ht="72.5"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c r="A79" s="522" t="s">
        <v>2617</v>
      </c>
    </row>
    <row r="80" spans="1:17" ht="66" customHeight="1">
      <c r="A80" s="4733" t="s">
        <v>2618</v>
      </c>
      <c r="B80" s="4733"/>
      <c r="C80" s="4733"/>
      <c r="D80" s="4733"/>
      <c r="E80" s="4733"/>
      <c r="F80" s="4733"/>
      <c r="G80" s="4733"/>
      <c r="H80" s="4733"/>
      <c r="I80" s="4733"/>
      <c r="J80" s="4733"/>
    </row>
    <row r="81" spans="1:15" s="1251" customFormat="1" ht="6" customHeight="1">
      <c r="A81" s="4733"/>
      <c r="B81" s="4733"/>
      <c r="C81" s="4733"/>
      <c r="D81" s="4733"/>
      <c r="E81" s="4733"/>
      <c r="F81" s="4733"/>
      <c r="G81" s="4733"/>
      <c r="H81" s="4733"/>
      <c r="I81" s="4733"/>
      <c r="J81" s="4733"/>
    </row>
    <row r="82" spans="1:15" ht="16.5" customHeight="1">
      <c r="A82" s="1252" t="s">
        <v>2619</v>
      </c>
      <c r="B82" s="521"/>
      <c r="C82" s="521"/>
      <c r="D82" s="1024"/>
      <c r="E82" s="521"/>
      <c r="F82" s="521"/>
      <c r="G82" s="521"/>
      <c r="H82" s="521"/>
      <c r="I82" s="521"/>
      <c r="J82" s="535"/>
    </row>
    <row r="83" spans="1:15" s="1251" customFormat="1" ht="63" customHeight="1">
      <c r="A83" s="4733" t="s">
        <v>3659</v>
      </c>
      <c r="B83" s="4733"/>
      <c r="C83" s="4733"/>
      <c r="D83" s="4733"/>
      <c r="E83" s="4733"/>
      <c r="F83" s="4733"/>
      <c r="G83" s="4733"/>
      <c r="H83" s="4733"/>
      <c r="I83" s="4733"/>
      <c r="J83" s="4733"/>
    </row>
    <row r="84" spans="1:15" s="1251" customFormat="1" ht="6" customHeight="1">
      <c r="A84" s="1249"/>
      <c r="B84" s="1249"/>
      <c r="C84" s="1249"/>
      <c r="D84" s="1249"/>
      <c r="E84" s="1249"/>
      <c r="F84" s="1249"/>
      <c r="G84" s="1249"/>
      <c r="H84" s="1249"/>
      <c r="I84" s="1249"/>
      <c r="J84" s="1249"/>
    </row>
    <row r="85" spans="1:15" ht="16.5" customHeight="1">
      <c r="A85" s="4755" t="s">
        <v>2620</v>
      </c>
      <c r="B85" s="4756"/>
      <c r="C85" s="4756"/>
      <c r="D85" s="521"/>
      <c r="E85" s="521"/>
      <c r="F85" s="521"/>
      <c r="G85" s="521"/>
      <c r="H85" s="521"/>
      <c r="I85" s="521"/>
      <c r="J85" s="535"/>
    </row>
    <row r="86" spans="1:15" ht="41.25" customHeight="1">
      <c r="A86" s="4733" t="s">
        <v>6159</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c r="A88" s="522" t="s">
        <v>2621</v>
      </c>
    </row>
    <row r="89" spans="1:15" ht="124.25" customHeight="1">
      <c r="A89" s="4733" t="s">
        <v>2622</v>
      </c>
      <c r="B89" s="4733"/>
      <c r="C89" s="4733"/>
      <c r="D89" s="4733"/>
      <c r="E89" s="4733"/>
      <c r="F89" s="4733"/>
      <c r="G89" s="4733"/>
      <c r="H89" s="4733"/>
      <c r="I89" s="4733"/>
      <c r="J89" s="4733"/>
      <c r="L89" s="4750" t="s">
        <v>2623</v>
      </c>
      <c r="M89" s="4750"/>
      <c r="N89" s="4750"/>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9"/>
      <c r="F96" s="1249"/>
      <c r="G96" s="1249"/>
      <c r="H96" s="1249"/>
      <c r="I96" s="1249"/>
      <c r="J96" s="1249"/>
    </row>
    <row r="97" spans="1:14" ht="109.5" customHeight="1">
      <c r="A97" s="4762" t="s">
        <v>2631</v>
      </c>
      <c r="B97" s="4763"/>
      <c r="C97" s="4763"/>
      <c r="D97" s="4763"/>
      <c r="E97" s="4763"/>
      <c r="F97" s="4763"/>
      <c r="G97" s="4763"/>
      <c r="H97" s="4763"/>
      <c r="I97" s="4763"/>
      <c r="J97" s="4763"/>
    </row>
    <row r="98" spans="1:14" ht="11.25" customHeight="1">
      <c r="A98" s="522"/>
    </row>
    <row r="99" spans="1:14">
      <c r="A99" s="522" t="s">
        <v>2632</v>
      </c>
    </row>
    <row r="100" spans="1:14" ht="110.75" customHeight="1">
      <c r="A100" s="4751" t="s">
        <v>2633</v>
      </c>
      <c r="B100" s="4751"/>
      <c r="C100" s="4751"/>
      <c r="D100" s="4751"/>
      <c r="E100" s="4751"/>
      <c r="F100" s="4751"/>
      <c r="G100" s="4751"/>
      <c r="H100" s="4751"/>
      <c r="I100" s="4751"/>
      <c r="J100" s="4751"/>
      <c r="L100" s="975">
        <f>'Part VI-Pro Forma'!K72</f>
        <v>2706479.1597250816</v>
      </c>
      <c r="M100" s="4754" t="s">
        <v>2634</v>
      </c>
      <c r="N100" s="475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5" t="s">
        <v>2635</v>
      </c>
      <c r="B104" s="4735"/>
      <c r="C104" s="4735"/>
      <c r="D104" s="1249"/>
      <c r="E104" s="1249"/>
      <c r="F104" s="1249"/>
      <c r="G104" s="1249"/>
      <c r="H104" s="1249"/>
      <c r="I104" s="1249"/>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c r="A107" s="522" t="s">
        <v>2637</v>
      </c>
    </row>
    <row r="108" spans="1:14" ht="43.5" customHeight="1">
      <c r="A108" s="4733" t="s">
        <v>2638</v>
      </c>
      <c r="B108" s="4733"/>
      <c r="C108" s="4733"/>
      <c r="D108" s="4733"/>
      <c r="E108" s="4733"/>
      <c r="F108" s="4733"/>
      <c r="G108" s="4733"/>
      <c r="H108" s="4733"/>
      <c r="I108" s="4733"/>
      <c r="J108" s="4733"/>
    </row>
    <row r="109" spans="1:14" ht="6" customHeight="1">
      <c r="A109" s="1249"/>
      <c r="B109" s="1249"/>
      <c r="C109" s="1249"/>
      <c r="D109" s="1249"/>
      <c r="E109" s="1249"/>
      <c r="F109" s="1249"/>
      <c r="G109" s="1249"/>
      <c r="H109" s="1249"/>
      <c r="I109" s="1249"/>
      <c r="J109" s="1249"/>
    </row>
    <row r="110" spans="1:14">
      <c r="A110" s="522" t="s">
        <v>2639</v>
      </c>
    </row>
    <row r="112" spans="1:14" ht="19" thickBot="1">
      <c r="A112" s="516" t="s">
        <v>2640</v>
      </c>
      <c r="G112" s="1490"/>
      <c r="H112" s="516" t="s">
        <v>2641</v>
      </c>
    </row>
    <row r="115" spans="1:10" ht="14"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60" t="s">
        <v>6064</v>
      </c>
      <c r="B120" s="4760"/>
      <c r="C120" s="4760"/>
      <c r="D120" s="4760"/>
      <c r="E120" s="4761"/>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Fairhaven on Campbellton</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6">
      <c r="A8" s="510" t="s">
        <v>2647</v>
      </c>
      <c r="B8" s="510"/>
      <c r="C8" s="4765" t="str">
        <f>'Part I-Project Identification'!F25</f>
        <v>Fairhaven on Campbellton</v>
      </c>
      <c r="D8" s="4765"/>
      <c r="E8" s="1020" t="str">
        <f>'Part I-Project Identification'!O7</f>
        <v>2023-0</v>
      </c>
      <c r="F8" s="510" t="s">
        <v>2648</v>
      </c>
      <c r="G8" s="507"/>
      <c r="H8" s="4765" t="str">
        <f>CONCATENATE('Part I-Project Identification'!F26,", ",'Part I-Project Identification'!J26)</f>
        <v>Atlanta, Fulton</v>
      </c>
      <c r="I8" s="4765"/>
      <c r="J8" s="4765"/>
      <c r="K8" s="4765"/>
      <c r="L8" s="507"/>
      <c r="M8" s="545"/>
    </row>
    <row r="9" spans="1:14" ht="16">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6">
      <c r="A10" s="510" t="s">
        <v>2653</v>
      </c>
      <c r="B10" s="507"/>
      <c r="C10" s="1020">
        <f>'Part II-Development Team'!H15</f>
        <v>0</v>
      </c>
      <c r="D10" s="507"/>
      <c r="E10" s="507"/>
      <c r="F10" s="510" t="s">
        <v>3131</v>
      </c>
      <c r="G10" s="507"/>
      <c r="H10" s="4765">
        <f>'Part II-Development Team'!H34</f>
        <v>0</v>
      </c>
      <c r="I10" s="4765"/>
      <c r="J10" s="4765"/>
      <c r="K10" s="4765">
        <f>'Part II-Development Team'!H40</f>
        <v>0</v>
      </c>
      <c r="L10" s="4765"/>
    </row>
    <row r="11" spans="1:14" ht="16">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6">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6">
      <c r="A13" s="510" t="s">
        <v>2657</v>
      </c>
      <c r="B13" s="510"/>
      <c r="C13" s="506">
        <f>'Part V-Revenues &amp; Expenses'!$P$67</f>
        <v>47</v>
      </c>
      <c r="E13" s="970">
        <f>'Part V-Revenues &amp; Expenses'!$P$63</f>
        <v>37</v>
      </c>
      <c r="F13" s="510" t="s">
        <v>3451</v>
      </c>
      <c r="G13" s="507"/>
      <c r="H13" s="1021" t="e">
        <f>'Part I-Project Identification'!#REF!</f>
        <v>#REF!</v>
      </c>
      <c r="I13" s="971"/>
      <c r="J13" s="971"/>
      <c r="K13" s="1021">
        <f>'Part V-Revenues &amp; Expenses'!K175</f>
        <v>40550</v>
      </c>
      <c r="L13" s="507"/>
      <c r="M13" s="507"/>
    </row>
    <row r="14" spans="1:14" ht="16">
      <c r="A14" s="510" t="s">
        <v>2949</v>
      </c>
      <c r="B14" s="507"/>
      <c r="C14" s="1021" t="e">
        <f>'Part I-Project Identification'!#REF!</f>
        <v>#REF!</v>
      </c>
      <c r="D14" s="4765" t="e">
        <f>IF('Part V-Revenues &amp; Expenses'!#REF!=0,"",'Part V-Revenues &amp; Expenses'!#REF!)</f>
        <v>#REF!</v>
      </c>
      <c r="E14" s="4765"/>
      <c r="F14" s="510" t="s">
        <v>2658</v>
      </c>
      <c r="G14" s="507"/>
      <c r="H14" s="4745" t="s">
        <v>3099</v>
      </c>
      <c r="I14" s="4745"/>
      <c r="J14" s="4745"/>
      <c r="K14" s="4745" t="s">
        <v>3099</v>
      </c>
      <c r="L14" s="4745"/>
      <c r="M14" s="507"/>
    </row>
    <row r="15" spans="1:14" ht="16">
      <c r="A15" s="510" t="s">
        <v>2659</v>
      </c>
      <c r="B15" s="507"/>
      <c r="C15" s="546" t="s">
        <v>1646</v>
      </c>
      <c r="D15" s="507"/>
      <c r="E15" s="507"/>
      <c r="F15" s="510" t="s">
        <v>2950</v>
      </c>
      <c r="G15" s="507"/>
      <c r="H15" s="1020" t="str">
        <f>'Part I-Project Identification'!K28</f>
        <v>Urban</v>
      </c>
      <c r="I15" s="507"/>
      <c r="J15" s="507"/>
      <c r="K15" s="507"/>
      <c r="L15" s="507"/>
      <c r="M15" s="507"/>
    </row>
    <row r="16" spans="1:14" ht="1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6">
      <c r="A17" s="507"/>
      <c r="B17" s="507"/>
      <c r="C17" s="507"/>
      <c r="D17" s="507"/>
      <c r="E17" s="507"/>
      <c r="F17" s="507"/>
      <c r="G17" s="507"/>
      <c r="H17" s="507"/>
      <c r="I17" s="507"/>
      <c r="J17" s="507"/>
      <c r="K17" s="507"/>
      <c r="L17" s="507"/>
      <c r="M17" s="507"/>
    </row>
    <row r="18" spans="1:13" ht="16">
      <c r="A18" s="510" t="s">
        <v>2952</v>
      </c>
      <c r="B18" s="507"/>
      <c r="C18" s="1023">
        <f>'Part III-A-Uses of Funds'!G146</f>
        <v>20365239</v>
      </c>
      <c r="D18" s="1003">
        <f>IF(C18=0,"",$C$29/C18)</f>
        <v>0.13012368772102306</v>
      </c>
      <c r="E18" s="507" t="s">
        <v>2953</v>
      </c>
      <c r="F18" s="510" t="s">
        <v>2954</v>
      </c>
      <c r="G18" s="507"/>
      <c r="H18" s="4766">
        <f>'Part III-A-Uses of Funds'!C49</f>
        <v>12960890</v>
      </c>
      <c r="I18" s="4766"/>
      <c r="J18" s="1002">
        <f>IF(H18=0,"",$C$29/H18)</f>
        <v>0.20446126770615289</v>
      </c>
      <c r="K18" s="4765" t="s">
        <v>2955</v>
      </c>
      <c r="L18" s="4765"/>
      <c r="M18" s="507"/>
    </row>
    <row r="19" spans="1:13" ht="16">
      <c r="A19" s="510" t="s">
        <v>2660</v>
      </c>
      <c r="B19" s="507"/>
      <c r="C19" s="1022">
        <f>C18/C13</f>
        <v>433302.95744680852</v>
      </c>
      <c r="D19" s="507"/>
      <c r="E19" s="507"/>
      <c r="F19" s="510" t="s">
        <v>2660</v>
      </c>
      <c r="G19" s="507"/>
      <c r="H19" s="4767">
        <f>H18/C13</f>
        <v>275763.61702127662</v>
      </c>
      <c r="I19" s="4767"/>
      <c r="J19" s="507"/>
      <c r="K19" s="507"/>
      <c r="L19" s="507"/>
      <c r="M19" s="507"/>
    </row>
    <row r="20" spans="1:13" ht="16">
      <c r="A20" s="510" t="s">
        <v>2661</v>
      </c>
      <c r="B20" s="507"/>
      <c r="C20" s="1020">
        <f>C18/K13</f>
        <v>502.22537607891491</v>
      </c>
      <c r="D20" s="548"/>
      <c r="E20" s="548"/>
      <c r="F20" s="510" t="s">
        <v>2661</v>
      </c>
      <c r="G20" s="507"/>
      <c r="H20" s="4765">
        <f>H18/K13</f>
        <v>319.62737361282365</v>
      </c>
      <c r="I20" s="4767"/>
      <c r="J20" s="507"/>
      <c r="K20" s="507"/>
      <c r="L20" s="50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Legacy Bank - Construction-to-Perm (Loan B)</v>
      </c>
      <c r="C25" s="553">
        <f>'Part II-Sources of Funds'!I40</f>
        <v>2650000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557">
        <f>SUM(C25:C27)</f>
        <v>2650000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17270773</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2650000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0.13012368772102306</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0.20446126770615289</v>
      </c>
      <c r="D40" s="507"/>
      <c r="E40" s="507"/>
      <c r="F40" s="510"/>
      <c r="G40" s="510" t="s">
        <v>2681</v>
      </c>
      <c r="H40" s="507"/>
      <c r="I40" s="507"/>
      <c r="K40" s="555">
        <f>C30/C18</f>
        <v>0.84805157454817992</v>
      </c>
      <c r="L40" s="507"/>
      <c r="M40" s="507"/>
    </row>
    <row r="46" spans="1:13" ht="16">
      <c r="A46" s="550" t="s">
        <v>2682</v>
      </c>
      <c r="B46" s="540"/>
      <c r="C46" s="540"/>
      <c r="D46" s="540"/>
      <c r="E46" s="540"/>
      <c r="F46" s="540"/>
      <c r="G46" s="540"/>
      <c r="H46" s="540"/>
      <c r="I46" s="540"/>
      <c r="J46" s="540"/>
      <c r="K46" s="540"/>
      <c r="L46" s="540"/>
      <c r="M46" s="507"/>
    </row>
    <row r="47" spans="1:13" ht="16">
      <c r="A47" s="550" t="str">
        <f>C8</f>
        <v>Fairhaven on Campbellton</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48" t="s">
        <v>2685</v>
      </c>
      <c r="L50" s="4749"/>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609024</v>
      </c>
      <c r="D52" s="568"/>
      <c r="E52" s="568">
        <f>$C$52</f>
        <v>609024</v>
      </c>
      <c r="F52" s="568"/>
      <c r="G52" s="568">
        <f>$C$52</f>
        <v>609024</v>
      </c>
      <c r="H52" s="568"/>
      <c r="I52" s="568">
        <f>$C$52</f>
        <v>609024</v>
      </c>
      <c r="J52" s="568"/>
      <c r="K52" s="568">
        <f>$C$52</f>
        <v>609024</v>
      </c>
      <c r="L52" s="569"/>
      <c r="M52"/>
      <c r="N52"/>
    </row>
    <row r="53" spans="1:14" s="507" customFormat="1" ht="18.75" customHeight="1">
      <c r="B53" s="567" t="s">
        <v>2689</v>
      </c>
      <c r="C53" s="568">
        <f>'Part VI-Pro Forma'!B16</f>
        <v>12180.48</v>
      </c>
      <c r="D53" s="568"/>
      <c r="E53" s="568">
        <f>$C$53</f>
        <v>12180.48</v>
      </c>
      <c r="F53" s="568"/>
      <c r="G53" s="568">
        <f>$C$53</f>
        <v>12180.48</v>
      </c>
      <c r="H53" s="568"/>
      <c r="I53" s="568">
        <f>$C$53</f>
        <v>12180.48</v>
      </c>
      <c r="J53" s="568"/>
      <c r="K53" s="568">
        <f>$C$53</f>
        <v>12180.48</v>
      </c>
      <c r="L53" s="569"/>
      <c r="M53"/>
      <c r="N53"/>
    </row>
    <row r="54" spans="1:14" s="507" customFormat="1" ht="18.75" customHeight="1">
      <c r="B54" s="567" t="s">
        <v>2687</v>
      </c>
      <c r="C54" s="568">
        <f>'Part VI-Pro Forma'!B17</f>
        <v>-43484.313600000001</v>
      </c>
      <c r="D54" s="568"/>
      <c r="E54" s="568">
        <f>-($C$52+E53)*F50</f>
        <v>-62120.448000000004</v>
      </c>
      <c r="F54" s="570"/>
      <c r="G54" s="568">
        <f>-($C$52+G53)*0.07</f>
        <v>-43484.313600000001</v>
      </c>
      <c r="H54" s="568"/>
      <c r="I54" s="568">
        <f>-($C$52+I53)*0.07</f>
        <v>-43484.313600000001</v>
      </c>
      <c r="J54" s="568"/>
      <c r="K54" s="568">
        <f>-($C$52+K53)*L54</f>
        <v>-62120.448000000004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577720.16639999999</v>
      </c>
      <c r="D56" s="568"/>
      <c r="E56" s="574">
        <f>SUM(E52:E55)</f>
        <v>559084.03200000001</v>
      </c>
      <c r="F56" s="568"/>
      <c r="G56" s="574">
        <f>SUM(G52:G55)</f>
        <v>577720.16639999999</v>
      </c>
      <c r="H56" s="568"/>
      <c r="I56" s="574">
        <f>SUM(I52:I55)</f>
        <v>577720.16639999999</v>
      </c>
      <c r="J56" s="568"/>
      <c r="K56" s="574">
        <f>SUM(K52:K55)</f>
        <v>559084.03200000001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102740</v>
      </c>
      <c r="D58" s="568"/>
      <c r="E58" s="568">
        <f>$C$58</f>
        <v>102740</v>
      </c>
      <c r="F58" s="568"/>
      <c r="G58" s="568">
        <f>$C$58</f>
        <v>102740</v>
      </c>
      <c r="H58" s="568"/>
      <c r="I58" s="568">
        <f>$C$58</f>
        <v>102740</v>
      </c>
      <c r="J58" s="568"/>
      <c r="K58" s="568">
        <f>$C$58</f>
        <v>102740</v>
      </c>
      <c r="L58" s="569"/>
      <c r="M58"/>
      <c r="N58"/>
    </row>
    <row r="59" spans="1:14" s="507" customFormat="1" ht="18.75" customHeight="1">
      <c r="B59" s="567" t="s">
        <v>2692</v>
      </c>
      <c r="C59" s="568">
        <f>+'Part V-Revenues &amp; Expenses'!F247</f>
        <v>62924</v>
      </c>
      <c r="D59" s="568"/>
      <c r="E59" s="568">
        <f>$C$59</f>
        <v>62924</v>
      </c>
      <c r="F59" s="568"/>
      <c r="G59" s="568">
        <f>$C$59</f>
        <v>62924</v>
      </c>
      <c r="H59" s="568"/>
      <c r="I59" s="568">
        <f>$C$59</f>
        <v>62924</v>
      </c>
      <c r="J59" s="568"/>
      <c r="K59" s="568">
        <f>$C$59*(1+$L$59)</f>
        <v>65440.959999999999</v>
      </c>
      <c r="L59" s="575">
        <v>0.04</v>
      </c>
      <c r="M59"/>
      <c r="N59"/>
    </row>
    <row r="60" spans="1:14" s="507" customFormat="1" ht="18.75" customHeight="1">
      <c r="B60" s="567" t="s">
        <v>1297</v>
      </c>
      <c r="C60" s="568">
        <f>+'Part V-Revenues &amp; Expenses'!L241</f>
        <v>52978</v>
      </c>
      <c r="D60" s="568"/>
      <c r="E60" s="568">
        <f>$C$60</f>
        <v>52978</v>
      </c>
      <c r="F60" s="568"/>
      <c r="G60" s="568">
        <f>$C$60</f>
        <v>52978</v>
      </c>
      <c r="H60" s="568"/>
      <c r="I60" s="568">
        <f>$C$60*(1+$J$50)</f>
        <v>54567.340000000004</v>
      </c>
      <c r="J60" s="570"/>
      <c r="K60" s="568">
        <f>$C$60*(1+$J$50)</f>
        <v>54567.340000000004</v>
      </c>
      <c r="L60" s="571">
        <v>0.03</v>
      </c>
      <c r="M60"/>
      <c r="N60"/>
    </row>
    <row r="61" spans="1:14" s="507" customFormat="1" ht="18.75" customHeight="1">
      <c r="B61" s="567" t="s">
        <v>1298</v>
      </c>
      <c r="C61" s="568">
        <f>+'Part V-Revenues &amp; Expenses'!L247</f>
        <v>87340</v>
      </c>
      <c r="D61" s="568"/>
      <c r="E61" s="568">
        <f>$C$61</f>
        <v>87340</v>
      </c>
      <c r="F61" s="568"/>
      <c r="G61" s="568">
        <f>$C$61*(1+H50)</f>
        <v>91707</v>
      </c>
      <c r="H61" s="570"/>
      <c r="I61" s="568">
        <f>$C$61</f>
        <v>87340</v>
      </c>
      <c r="J61" s="568"/>
      <c r="K61" s="568">
        <f>$C$61*(1+$L$61)</f>
        <v>91707</v>
      </c>
      <c r="L61" s="571">
        <v>0.05</v>
      </c>
      <c r="M61"/>
      <c r="N61"/>
    </row>
    <row r="62" spans="1:14" s="507" customFormat="1" ht="18.75" customHeight="1">
      <c r="B62" s="573" t="s">
        <v>2693</v>
      </c>
      <c r="C62" s="574">
        <f>SUM(C58:C61)</f>
        <v>305982</v>
      </c>
      <c r="D62" s="568"/>
      <c r="E62" s="574">
        <f>SUM(E58:E61)</f>
        <v>305982</v>
      </c>
      <c r="F62" s="568"/>
      <c r="G62" s="574">
        <f>SUM(G58:G61)</f>
        <v>310349</v>
      </c>
      <c r="H62" s="568"/>
      <c r="I62" s="574">
        <f>SUM(I58:I61)</f>
        <v>307571.33999999997</v>
      </c>
      <c r="J62" s="568"/>
      <c r="K62" s="574">
        <f>SUM(K58:K61)</f>
        <v>314455.3</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271738.16639999999</v>
      </c>
      <c r="D64" s="577"/>
      <c r="E64" s="577">
        <f>E56-E62</f>
        <v>253102.03200000001</v>
      </c>
      <c r="F64" s="577"/>
      <c r="G64" s="577">
        <f>G56-G62</f>
        <v>267371.16639999999</v>
      </c>
      <c r="H64" s="577"/>
      <c r="I64" s="577">
        <f>I56-I62</f>
        <v>270148.82640000002</v>
      </c>
      <c r="J64" s="577"/>
      <c r="K64" s="577">
        <f>K56-K62</f>
        <v>244628.73200000002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Expenses'!Q234</f>
        <v>11750</v>
      </c>
      <c r="D66" s="568"/>
      <c r="E66" s="568">
        <f>$C$66</f>
        <v>11750</v>
      </c>
      <c r="F66" s="568"/>
      <c r="G66" s="568">
        <f>$C$66</f>
        <v>11750</v>
      </c>
      <c r="H66" s="568"/>
      <c r="I66" s="568">
        <f>$C$66</f>
        <v>11750</v>
      </c>
      <c r="J66" s="568"/>
      <c r="K66" s="568">
        <f>$C$66</f>
        <v>11750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Expenses'!Q220</f>
        <v>34663</v>
      </c>
      <c r="D68" s="568"/>
      <c r="E68" s="568">
        <f>$C$68</f>
        <v>34663</v>
      </c>
      <c r="F68" s="568"/>
      <c r="G68" s="568">
        <f>$C$68</f>
        <v>34663</v>
      </c>
      <c r="H68" s="568"/>
      <c r="I68" s="568">
        <f>$C$68</f>
        <v>34663</v>
      </c>
      <c r="J68" s="568"/>
      <c r="K68" s="568">
        <f>$C$68</f>
        <v>34663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225325.16639999999</v>
      </c>
      <c r="D70" s="577"/>
      <c r="E70" s="580">
        <f>E64-E66-E68</f>
        <v>206689.03200000001</v>
      </c>
      <c r="F70" s="577"/>
      <c r="G70" s="580">
        <f>G64-G66-G68</f>
        <v>220958.16639999999</v>
      </c>
      <c r="H70" s="577"/>
      <c r="I70" s="580">
        <f>I64-I66-I68</f>
        <v>223735.82640000002</v>
      </c>
      <c r="J70" s="577"/>
      <c r="K70" s="580">
        <f>K64-K66-K68</f>
        <v>198215.73200000002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1.2012113433446863</v>
      </c>
      <c r="D72" s="581"/>
      <c r="E72" s="1004">
        <f>-E70/E75</f>
        <v>1.1018618725552747</v>
      </c>
      <c r="F72" s="581"/>
      <c r="G72" s="1004">
        <f>-G70/G75</f>
        <v>1.1779308105032102</v>
      </c>
      <c r="H72" s="581"/>
      <c r="I72" s="1004">
        <f>-I70/I75</f>
        <v>1.1927385514815603</v>
      </c>
      <c r="J72" s="581"/>
      <c r="K72" s="1004">
        <f>-K70/K75</f>
        <v>1.0566906019059323</v>
      </c>
      <c r="L72" s="4"/>
      <c r="M72" s="10"/>
      <c r="N72" s="10"/>
    </row>
    <row r="73" spans="1:14" s="507" customFormat="1" ht="18.75" customHeight="1">
      <c r="A73"/>
      <c r="B73" s="567" t="s">
        <v>2699</v>
      </c>
      <c r="C73" s="1005">
        <f>C76/C62</f>
        <v>0.12335218799253239</v>
      </c>
      <c r="D73" s="582"/>
      <c r="E73" s="1005">
        <f>E76/E62</f>
        <v>6.2446205287667457E-2</v>
      </c>
      <c r="F73" s="582"/>
      <c r="G73" s="1005">
        <f>G76/G62</f>
        <v>0.10754521260365281</v>
      </c>
      <c r="H73" s="582"/>
      <c r="I73" s="1005">
        <f>I76/I62</f>
        <v>0.117547393025407</v>
      </c>
      <c r="J73" s="582"/>
      <c r="K73" s="1005">
        <f>K76/K62</f>
        <v>3.3817572120206196E-2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-187581.61721366894</v>
      </c>
      <c r="D75" s="568"/>
      <c r="E75" s="568">
        <f>$C$75</f>
        <v>-187581.61721366894</v>
      </c>
      <c r="F75" s="568"/>
      <c r="G75" s="568">
        <f>$C$75</f>
        <v>-187581.61721366894</v>
      </c>
      <c r="H75" s="568"/>
      <c r="I75" s="568">
        <f>$C$75</f>
        <v>-187581.61721366894</v>
      </c>
      <c r="J75" s="568"/>
      <c r="K75" s="568">
        <f>$C$75</f>
        <v>-187581.61721366894</v>
      </c>
      <c r="L75" s="26"/>
      <c r="M75"/>
      <c r="N75"/>
    </row>
    <row r="76" spans="1:14" s="507" customFormat="1" ht="18.75" customHeight="1">
      <c r="A76"/>
      <c r="B76" s="567" t="s">
        <v>1096</v>
      </c>
      <c r="C76" s="568">
        <f>C70+C75</f>
        <v>37743.549186331045</v>
      </c>
      <c r="D76" s="568"/>
      <c r="E76" s="568">
        <f>E70+E75</f>
        <v>19107.414786331065</v>
      </c>
      <c r="F76" s="568"/>
      <c r="G76" s="568">
        <f>G70+G75</f>
        <v>33376.549186331045</v>
      </c>
      <c r="H76" s="568"/>
      <c r="I76" s="568">
        <f>I70+I75</f>
        <v>36154.209186331078</v>
      </c>
      <c r="J76" s="568"/>
      <c r="K76" s="568">
        <f>K70+K75</f>
        <v>10634.114786331076</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953" customWidth="1"/>
    <col min="2" max="2" width="13.6640625" style="953" customWidth="1"/>
    <col min="3" max="11" width="10.5" style="953" customWidth="1"/>
    <col min="12" max="12" width="9.6640625" style="953" customWidth="1"/>
    <col min="13" max="21" width="10.5" style="953" customWidth="1"/>
    <col min="22" max="16384" width="9.33203125" style="953"/>
  </cols>
  <sheetData>
    <row r="1" spans="1:7" ht="3" customHeight="1"/>
    <row r="2" spans="1:7">
      <c r="A2" s="952" t="s">
        <v>3415</v>
      </c>
    </row>
    <row r="3" spans="1:7" ht="3" customHeight="1"/>
    <row r="4" spans="1:7">
      <c r="A4" s="953" t="s">
        <v>3416</v>
      </c>
      <c r="B4" s="954">
        <f>+'Part III-A-Uses of Funds'!$G$146</f>
        <v>20365239</v>
      </c>
    </row>
    <row r="5" spans="1:7">
      <c r="A5" s="953" t="s">
        <v>3447</v>
      </c>
      <c r="B5" s="954">
        <f>+B18+B26+B38</f>
        <v>1890192.9472338157</v>
      </c>
    </row>
    <row r="6" spans="1:7">
      <c r="A6" s="953" t="s">
        <v>3417</v>
      </c>
      <c r="B6" s="955">
        <f>+B5-B4</f>
        <v>-18475046.052766185</v>
      </c>
    </row>
    <row r="7" spans="1:7">
      <c r="A7" s="953" t="s">
        <v>3418</v>
      </c>
      <c r="B7" s="956">
        <f>+B6/B4</f>
        <v>-0.90718532951006292</v>
      </c>
    </row>
    <row r="8" spans="1:7" ht="9" customHeight="1"/>
    <row r="9" spans="1:7">
      <c r="A9" s="953" t="s">
        <v>3419</v>
      </c>
      <c r="B9" s="954">
        <f>+B18+B26+B33</f>
        <v>1890192.9472338157</v>
      </c>
    </row>
    <row r="10" spans="1:7">
      <c r="A10" s="953" t="s">
        <v>3417</v>
      </c>
      <c r="B10" s="955">
        <f>+B9-B4</f>
        <v>-18475046.052766185</v>
      </c>
    </row>
    <row r="11" spans="1:7">
      <c r="A11" s="953" t="s">
        <v>3418</v>
      </c>
      <c r="B11" s="956">
        <f>+B10/B4</f>
        <v>-0.90718532951006292</v>
      </c>
    </row>
    <row r="12" spans="1:7" ht="24" customHeight="1"/>
    <row r="13" spans="1:7">
      <c r="A13" s="952" t="s">
        <v>3420</v>
      </c>
      <c r="D13" s="1010" t="s">
        <v>3664</v>
      </c>
      <c r="E13" s="1011"/>
    </row>
    <row r="14" spans="1:7">
      <c r="A14" s="953" t="s">
        <v>3421</v>
      </c>
      <c r="B14" s="957">
        <f>+SUM('Part II-Sources of Funds'!L51:M52)</f>
        <v>17272500</v>
      </c>
      <c r="D14" s="1011"/>
      <c r="E14" s="1011"/>
    </row>
    <row r="15" spans="1:7">
      <c r="A15" s="953" t="s">
        <v>3422</v>
      </c>
      <c r="B15" s="958">
        <f>+'Part III-A-Uses of Funds'!J180</f>
        <v>1771523.9</v>
      </c>
      <c r="D15" s="1011" t="s">
        <v>1895</v>
      </c>
      <c r="G15" s="1012">
        <f>'Part III-A-Uses of Funds'!J168</f>
        <v>14706711.85265105</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6994512.1571208397</v>
      </c>
    </row>
    <row r="20" spans="1:7">
      <c r="A20" s="953" t="s">
        <v>3425</v>
      </c>
      <c r="B20" s="957">
        <f>+B18-B14</f>
        <v>-17272500</v>
      </c>
      <c r="D20" s="1011" t="s">
        <v>3669</v>
      </c>
      <c r="G20" s="1014">
        <f>+B14-G19</f>
        <v>10277987.842879161</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2650000</v>
      </c>
    </row>
    <row r="25" spans="1:7">
      <c r="A25" s="953" t="s">
        <v>3429</v>
      </c>
      <c r="B25" s="961">
        <f>IF('Part II-Sources of Funds'!E6="Yes","N/A",MAX(B46:P46))</f>
        <v>-189.35478633106686</v>
      </c>
    </row>
    <row r="26" spans="1:7">
      <c r="A26" s="953" t="s">
        <v>3430</v>
      </c>
      <c r="B26" s="951">
        <f>IFERROR(PV('Part II-Sources of Funds'!K40,'Part II-Sources of Funds'!L40,B25+B45),B24)</f>
        <v>1890192.9472338157</v>
      </c>
    </row>
    <row r="27" spans="1:7" ht="9" customHeight="1">
      <c r="B27" s="951"/>
    </row>
    <row r="28" spans="1:7">
      <c r="A28" s="953" t="s">
        <v>3431</v>
      </c>
      <c r="B28" s="962">
        <f>+B26-B24</f>
        <v>-759807.05276618432</v>
      </c>
      <c r="C28" s="963"/>
    </row>
    <row r="29" spans="1:7">
      <c r="A29" s="953" t="s">
        <v>3426</v>
      </c>
      <c r="B29" s="964">
        <f>+B28/B24</f>
        <v>-0.28671964255327709</v>
      </c>
    </row>
    <row r="30" spans="1:7" ht="24" customHeight="1"/>
    <row r="31" spans="1:7">
      <c r="A31" s="952" t="s">
        <v>3361</v>
      </c>
    </row>
    <row r="32" spans="1:7">
      <c r="A32" s="953" t="s">
        <v>3432</v>
      </c>
      <c r="B32" s="965">
        <f>+'Part II-Sources of Funds'!I45</f>
        <v>444466</v>
      </c>
    </row>
    <row r="33" spans="1:11">
      <c r="A33" s="953" t="s">
        <v>3433</v>
      </c>
      <c r="B33" s="951"/>
    </row>
    <row r="34" spans="1:11" ht="9" customHeight="1">
      <c r="B34" s="951"/>
    </row>
    <row r="35" spans="1:11">
      <c r="A35" s="953" t="s">
        <v>3434</v>
      </c>
      <c r="B35" s="965">
        <f>+B33-B32</f>
        <v>-444466</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225325.16639999999</v>
      </c>
      <c r="C44" s="954">
        <f>+'Part VI-Pro Forma'!C25</f>
        <v>226654.60972799995</v>
      </c>
      <c r="D44" s="954">
        <f>+'Part VI-Pro Forma'!D25</f>
        <v>227914.18232255994</v>
      </c>
      <c r="E44" s="954">
        <f>+'Part VI-Pro Forma'!E25</f>
        <v>229101.92718101124</v>
      </c>
      <c r="F44" s="954">
        <f>+'Part VI-Pro Forma'!F25</f>
        <v>230211.72237299138</v>
      </c>
      <c r="G44" s="954">
        <f>+'Part VI-Pro Forma'!G25</f>
        <v>231240.27516826225</v>
      </c>
      <c r="H44" s="954">
        <f>+'Part VI-Pro Forma'!H25</f>
        <v>232182.11596987251</v>
      </c>
      <c r="I44" s="954">
        <f>+'Part VI-Pro Forma'!I25</f>
        <v>233031.5920464622</v>
      </c>
      <c r="J44" s="954">
        <f>+'Part VI-Pro Forma'!J25</f>
        <v>233784.86105729989</v>
      </c>
      <c r="K44" s="954">
        <f>+'Part VI-Pro Forma'!K25</f>
        <v>234434.88436345139</v>
      </c>
    </row>
    <row r="45" spans="1:11">
      <c r="A45" s="953" t="s">
        <v>3438</v>
      </c>
      <c r="B45" s="954">
        <f>SUM('Part VI-Pro Forma'!B26:B29)</f>
        <v>-187581.61721366894</v>
      </c>
      <c r="C45" s="954">
        <f>SUM('Part VI-Pro Forma'!C26:C29)</f>
        <v>-187581.61721366894</v>
      </c>
      <c r="D45" s="954">
        <f>SUM('Part VI-Pro Forma'!D26:D29)</f>
        <v>-187581.61721366894</v>
      </c>
      <c r="E45" s="954">
        <f>SUM('Part VI-Pro Forma'!E26:E29)</f>
        <v>-187581.61721366894</v>
      </c>
      <c r="F45" s="954">
        <f>SUM('Part VI-Pro Forma'!F26:F29)</f>
        <v>-187581.61721366894</v>
      </c>
      <c r="G45" s="954">
        <f>SUM('Part VI-Pro Forma'!G26:G29)</f>
        <v>-187581.61721366894</v>
      </c>
      <c r="H45" s="954">
        <f>SUM('Part VI-Pro Forma'!H26:H29)</f>
        <v>-187581.61721366894</v>
      </c>
      <c r="I45" s="954">
        <f>SUM('Part VI-Pro Forma'!I26:I29)</f>
        <v>-187581.61721366894</v>
      </c>
      <c r="J45" s="954">
        <f>SUM('Part VI-Pro Forma'!J26:J29)</f>
        <v>-187581.61721366894</v>
      </c>
      <c r="K45" s="954">
        <f>SUM('Part VI-Pro Forma'!K26:K29)</f>
        <v>-187581.61721366894</v>
      </c>
    </row>
    <row r="46" spans="1:11">
      <c r="A46" s="953" t="s">
        <v>3439</v>
      </c>
      <c r="B46" s="955">
        <f t="shared" ref="B46:K46" si="0">-B44/B48-B45</f>
        <v>-189.35478633106686</v>
      </c>
      <c r="C46" s="955">
        <f t="shared" si="0"/>
        <v>-1297.2242263310181</v>
      </c>
      <c r="D46" s="955">
        <f t="shared" si="0"/>
        <v>-2346.8680551310244</v>
      </c>
      <c r="E46" s="955">
        <f t="shared" si="0"/>
        <v>-3336.6554371737584</v>
      </c>
      <c r="F46" s="955">
        <f t="shared" si="0"/>
        <v>-4261.4847638238862</v>
      </c>
      <c r="G46" s="955">
        <f t="shared" si="0"/>
        <v>-5118.6120932162739</v>
      </c>
      <c r="H46" s="955">
        <f t="shared" si="0"/>
        <v>-5903.4794278914924</v>
      </c>
      <c r="I46" s="955">
        <f t="shared" si="0"/>
        <v>-6611.3761583828891</v>
      </c>
      <c r="J46" s="955">
        <f t="shared" si="0"/>
        <v>-7239.1003340809839</v>
      </c>
      <c r="K46" s="955">
        <f t="shared" si="0"/>
        <v>-7780.7864225405501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225325.16639999999</v>
      </c>
      <c r="C51" s="955">
        <f t="shared" ref="C51:K51" si="2">+C44</f>
        <v>226654.60972799995</v>
      </c>
      <c r="D51" s="955">
        <f t="shared" si="2"/>
        <v>227914.18232255994</v>
      </c>
      <c r="E51" s="955">
        <f t="shared" si="2"/>
        <v>229101.92718101124</v>
      </c>
      <c r="F51" s="955">
        <f t="shared" si="2"/>
        <v>230211.72237299138</v>
      </c>
      <c r="G51" s="955">
        <f t="shared" si="2"/>
        <v>231240.27516826225</v>
      </c>
      <c r="H51" s="955">
        <f t="shared" si="2"/>
        <v>232182.11596987251</v>
      </c>
      <c r="I51" s="955">
        <f t="shared" si="2"/>
        <v>233031.5920464622</v>
      </c>
      <c r="J51" s="955">
        <f t="shared" si="2"/>
        <v>233784.86105729989</v>
      </c>
      <c r="K51" s="955">
        <f t="shared" si="2"/>
        <v>234434.88436345139</v>
      </c>
    </row>
    <row r="52" spans="1:17">
      <c r="A52" s="953" t="s">
        <v>3441</v>
      </c>
      <c r="B52" s="955">
        <f>IF($B$25="N/A",B45,B45+$B$25)</f>
        <v>-187770.97200000001</v>
      </c>
      <c r="C52" s="955">
        <f t="shared" ref="C52:K52" si="3">IF($B$25="N/A",C45,C45+$B$25)</f>
        <v>-187770.97200000001</v>
      </c>
      <c r="D52" s="955">
        <f t="shared" si="3"/>
        <v>-187770.97200000001</v>
      </c>
      <c r="E52" s="955">
        <f t="shared" si="3"/>
        <v>-187770.97200000001</v>
      </c>
      <c r="F52" s="955">
        <f t="shared" si="3"/>
        <v>-187770.97200000001</v>
      </c>
      <c r="G52" s="955">
        <f t="shared" si="3"/>
        <v>-187770.97200000001</v>
      </c>
      <c r="H52" s="955">
        <f t="shared" si="3"/>
        <v>-187770.97200000001</v>
      </c>
      <c r="I52" s="955">
        <f t="shared" si="3"/>
        <v>-187770.97200000001</v>
      </c>
      <c r="J52" s="955">
        <f t="shared" si="3"/>
        <v>-187770.97200000001</v>
      </c>
      <c r="K52" s="955">
        <f t="shared" si="3"/>
        <v>-187770.97200000001</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+SUM(B51:B53)</f>
        <v>30054.194399999978</v>
      </c>
      <c r="C54" s="955">
        <f t="shared" ref="C54:K54" si="4">+SUM(C51:C53)</f>
        <v>31383.637727999943</v>
      </c>
      <c r="D54" s="955">
        <f t="shared" si="4"/>
        <v>32643.210322559928</v>
      </c>
      <c r="E54" s="955">
        <f t="shared" si="4"/>
        <v>33830.955181011232</v>
      </c>
      <c r="F54" s="955">
        <f t="shared" si="4"/>
        <v>34940.750372991373</v>
      </c>
      <c r="G54" s="955">
        <f t="shared" si="4"/>
        <v>35969.303168262239</v>
      </c>
      <c r="H54" s="955">
        <f t="shared" si="4"/>
        <v>36911.143969872501</v>
      </c>
      <c r="I54" s="955">
        <f t="shared" si="4"/>
        <v>37760.620046462194</v>
      </c>
      <c r="J54" s="955">
        <f t="shared" si="4"/>
        <v>38513.889057299879</v>
      </c>
      <c r="K54" s="955">
        <f t="shared" si="4"/>
        <v>39163.912363451382</v>
      </c>
    </row>
    <row r="55" spans="1:17">
      <c r="A55" s="953" t="s">
        <v>3361</v>
      </c>
      <c r="B55" s="955">
        <f>-B54</f>
        <v>-30054.194399999978</v>
      </c>
      <c r="C55" s="955">
        <f t="shared" ref="C55:K55" si="5">-C54</f>
        <v>-31383.637727999943</v>
      </c>
      <c r="D55" s="955">
        <f t="shared" si="5"/>
        <v>-32643.210322559928</v>
      </c>
      <c r="E55" s="955">
        <f t="shared" si="5"/>
        <v>-33830.955181011232</v>
      </c>
      <c r="F55" s="955">
        <f t="shared" si="5"/>
        <v>-34940.750372991373</v>
      </c>
      <c r="G55" s="955">
        <f t="shared" si="5"/>
        <v>-35969.303168262239</v>
      </c>
      <c r="H55" s="955">
        <f t="shared" si="5"/>
        <v>-36911.143969872501</v>
      </c>
      <c r="I55" s="955">
        <f t="shared" si="5"/>
        <v>-37760.620046462194</v>
      </c>
      <c r="J55" s="955">
        <f t="shared" si="5"/>
        <v>-38513.889057299879</v>
      </c>
      <c r="K55" s="955">
        <f t="shared" si="5"/>
        <v>-39163.912363451382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1824504.1327100627</v>
      </c>
      <c r="C58" s="954">
        <f>IF($B$26="","",-FV('Part II-Sources of Funds'!$K$40/12,12,C52/12,B58))</f>
        <v>1754372.7838832261</v>
      </c>
      <c r="D58" s="954">
        <f>IF($B$26="","",-FV('Part II-Sources of Funds'!$K$40/12,12,D52/12,C58))</f>
        <v>1679498.4521734805</v>
      </c>
      <c r="E58" s="954">
        <f>IF($B$26="","",-FV('Part II-Sources of Funds'!$K$40/12,12,E52/12,D58))</f>
        <v>1599560.369664568</v>
      </c>
      <c r="F58" s="954">
        <f>IF($B$26="","",-FV('Part II-Sources of Funds'!$K$40/12,12,F52/12,E58))</f>
        <v>1514216.0749071431</v>
      </c>
      <c r="G58" s="954">
        <f>IF($B$26="","",-FV('Part II-Sources of Funds'!$K$40/12,12,G52/12,F58))</f>
        <v>1423099.9457852051</v>
      </c>
      <c r="H58" s="954">
        <f>IF($B$26="","",-FV('Part II-Sources of Funds'!$K$40/12,12,H52/12,G58))</f>
        <v>1325821.6331602898</v>
      </c>
      <c r="I58" s="954">
        <f>IF($B$26="","",-FV('Part II-Sources of Funds'!$K$40/12,12,I52/12,H58))</f>
        <v>1221964.3885830252</v>
      </c>
      <c r="J58" s="954">
        <f>IF($B$26="","",-FV('Part II-Sources of Funds'!$K$40/12,12,J52/12,I58))</f>
        <v>1111083.2789078238</v>
      </c>
      <c r="K58" s="954">
        <f>IF($B$26="","",-FV('Part II-Sources of Funds'!$K$40/12,12,K52/12,J58))</f>
        <v>992703.28016197379</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234978.420118276</v>
      </c>
      <c r="C64" s="954">
        <f>+'Part VI-Pro Forma'!C57</f>
        <v>235408.01613022372</v>
      </c>
      <c r="D64" s="954">
        <f>+'Part VI-Pro Forma'!D57</f>
        <v>235718.00249069819</v>
      </c>
      <c r="E64" s="954">
        <f>+'Part VI-Pro Forma'!E57</f>
        <v>235901.48395951811</v>
      </c>
      <c r="F64" s="954">
        <f>+'Part VI-Pro Forma'!F57</f>
        <v>235954.33210028446</v>
      </c>
      <c r="G64" s="954">
        <f>+'Part VI-Pro Forma'!G57</f>
        <v>235867.17715771327</v>
      </c>
      <c r="H64" s="954">
        <f>+'Part VI-Pro Forma'!H57</f>
        <v>235634.39966875393</v>
      </c>
      <c r="I64" s="954">
        <f>+'Part VI-Pro Forma'!I57</f>
        <v>235248.12179905167</v>
      </c>
      <c r="J64" s="954">
        <f>+'Part VI-Pro Forma'!J57</f>
        <v>234701.19839606283</v>
      </c>
      <c r="K64" s="954">
        <f>+'Part VI-Pro Forma'!K57</f>
        <v>233986.2077498454</v>
      </c>
    </row>
    <row r="65" spans="1:11">
      <c r="A65" s="953" t="s">
        <v>3438</v>
      </c>
      <c r="B65" s="954">
        <f>SUM('Part VI-Pro Forma'!B58:B61)</f>
        <v>-187581.61721366894</v>
      </c>
      <c r="C65" s="954">
        <f>SUM('Part VI-Pro Forma'!C58:C61)</f>
        <v>-187581.61721366894</v>
      </c>
      <c r="D65" s="954">
        <f>SUM('Part VI-Pro Forma'!D58:D61)</f>
        <v>-187581.61721366894</v>
      </c>
      <c r="E65" s="954">
        <f>SUM('Part VI-Pro Forma'!E58:E61)</f>
        <v>-187581.61721366894</v>
      </c>
      <c r="F65" s="954">
        <f>SUM('Part VI-Pro Forma'!F58:F61)</f>
        <v>-187581.61721366894</v>
      </c>
      <c r="G65" s="954">
        <f>SUM('Part VI-Pro Forma'!G58:G61)</f>
        <v>-187581.61721366894</v>
      </c>
      <c r="H65" s="954">
        <f>SUM('Part VI-Pro Forma'!H58:H61)</f>
        <v>-187581.61721366894</v>
      </c>
      <c r="I65" s="954">
        <f>SUM('Part VI-Pro Forma'!I58:I61)</f>
        <v>0</v>
      </c>
      <c r="J65" s="954">
        <f>SUM('Part VI-Pro Forma'!J58:J61)</f>
        <v>0</v>
      </c>
      <c r="K65" s="954">
        <f>SUM('Part VI-Pro Forma'!K58:K61)</f>
        <v>0</v>
      </c>
    </row>
    <row r="66" spans="1:11">
      <c r="A66" s="953" t="s">
        <v>3439</v>
      </c>
      <c r="B66" s="955">
        <f t="shared" ref="B66:K66" si="7">-B64/B68-B65</f>
        <v>-8233.7328848943871</v>
      </c>
      <c r="C66" s="955">
        <f t="shared" si="7"/>
        <v>-8591.7295615175099</v>
      </c>
      <c r="D66" s="955">
        <f t="shared" si="7"/>
        <v>-8850.0515285795555</v>
      </c>
      <c r="E66" s="955">
        <f t="shared" si="7"/>
        <v>-9002.9527525961457</v>
      </c>
      <c r="F66" s="955">
        <f t="shared" si="7"/>
        <v>-9046.9928699014417</v>
      </c>
      <c r="G66" s="955">
        <f t="shared" si="7"/>
        <v>-8974.3637510921399</v>
      </c>
      <c r="H66" s="955">
        <f t="shared" si="7"/>
        <v>-8780.3825102926639</v>
      </c>
      <c r="I66" s="955">
        <f t="shared" si="7"/>
        <v>-196040.10149920973</v>
      </c>
      <c r="J66" s="955">
        <f t="shared" si="7"/>
        <v>-195584.33199671903</v>
      </c>
      <c r="K66" s="955">
        <f t="shared" si="7"/>
        <v>-194988.5064582045</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234978.420118276</v>
      </c>
      <c r="C71" s="955">
        <f t="shared" si="9"/>
        <v>235408.01613022372</v>
      </c>
      <c r="D71" s="955">
        <f t="shared" si="9"/>
        <v>235718.00249069819</v>
      </c>
      <c r="E71" s="955">
        <f t="shared" si="9"/>
        <v>235901.48395951811</v>
      </c>
      <c r="F71" s="955">
        <f t="shared" si="9"/>
        <v>235954.33210028446</v>
      </c>
      <c r="G71" s="955">
        <f t="shared" si="9"/>
        <v>235867.17715771327</v>
      </c>
      <c r="H71" s="955">
        <f>+H64</f>
        <v>235634.39966875393</v>
      </c>
      <c r="I71" s="955">
        <f>+I64</f>
        <v>235248.12179905167</v>
      </c>
      <c r="J71" s="955">
        <f>+J64</f>
        <v>234701.19839606283</v>
      </c>
      <c r="K71" s="955">
        <f>+K64</f>
        <v>233986.2077498454</v>
      </c>
    </row>
    <row r="72" spans="1:11">
      <c r="A72" s="953" t="s">
        <v>3441</v>
      </c>
      <c r="B72" s="955">
        <f t="shared" ref="B72:G72" si="10">IF($B$25="N/A",B65,B65+$B$25)</f>
        <v>-187770.97200000001</v>
      </c>
      <c r="C72" s="955">
        <f t="shared" si="10"/>
        <v>-187770.97200000001</v>
      </c>
      <c r="D72" s="955">
        <f t="shared" si="10"/>
        <v>-187770.97200000001</v>
      </c>
      <c r="E72" s="955">
        <f t="shared" si="10"/>
        <v>-187770.97200000001</v>
      </c>
      <c r="F72" s="955">
        <f t="shared" si="10"/>
        <v>-187770.97200000001</v>
      </c>
      <c r="G72" s="955">
        <f t="shared" si="10"/>
        <v>-187770.97200000001</v>
      </c>
      <c r="H72" s="955">
        <f>IF($B$25="N/A",H65,H65+$B$25)</f>
        <v>-187770.97200000001</v>
      </c>
      <c r="I72" s="955">
        <f>IF($B$25="N/A",I65,I65+$B$25)</f>
        <v>-189.35478633106686</v>
      </c>
      <c r="J72" s="955">
        <f>IF($B$25="N/A",J65,J65+$B$25)</f>
        <v>-189.35478633106686</v>
      </c>
      <c r="K72" s="955">
        <f>IF($B$25="N/A",K65,K65+$B$25)</f>
        <v>-189.35478633106686</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si="11">+SUM(B71:B73)</f>
        <v>39707.448118275992</v>
      </c>
      <c r="C74" s="955">
        <f t="shared" si="11"/>
        <v>40137.044130223716</v>
      </c>
      <c r="D74" s="955">
        <f t="shared" si="11"/>
        <v>40447.030490698176</v>
      </c>
      <c r="E74" s="955">
        <f t="shared" si="11"/>
        <v>40630.511959518102</v>
      </c>
      <c r="F74" s="955">
        <f t="shared" si="11"/>
        <v>40683.360100284452</v>
      </c>
      <c r="G74" s="955">
        <f t="shared" si="11"/>
        <v>40596.205157713266</v>
      </c>
      <c r="H74" s="955">
        <f>+SUM(H71:H73)</f>
        <v>40363.427668753924</v>
      </c>
      <c r="I74" s="955">
        <f>+SUM(I71:I73)</f>
        <v>227558.76701272061</v>
      </c>
      <c r="J74" s="955">
        <f>+SUM(J71:J73)</f>
        <v>227011.84360973176</v>
      </c>
      <c r="K74" s="955">
        <f>+SUM(K71:K73)</f>
        <v>226296.85296351433</v>
      </c>
    </row>
    <row r="75" spans="1:11">
      <c r="A75" s="953" t="s">
        <v>3361</v>
      </c>
      <c r="B75" s="955">
        <f t="shared" ref="B75:G75" si="12">-B74</f>
        <v>-39707.448118275992</v>
      </c>
      <c r="C75" s="955">
        <f t="shared" si="12"/>
        <v>-40137.044130223716</v>
      </c>
      <c r="D75" s="955">
        <f t="shared" si="12"/>
        <v>-40447.030490698176</v>
      </c>
      <c r="E75" s="955">
        <f t="shared" si="12"/>
        <v>-40630.511959518102</v>
      </c>
      <c r="F75" s="955">
        <f t="shared" si="12"/>
        <v>-40683.360100284452</v>
      </c>
      <c r="G75" s="955">
        <f t="shared" si="12"/>
        <v>-40596.205157713266</v>
      </c>
      <c r="H75" s="955">
        <f>-H74</f>
        <v>-40363.427668753924</v>
      </c>
      <c r="I75" s="955">
        <f>-I74</f>
        <v>-227558.76701272061</v>
      </c>
      <c r="J75" s="955">
        <f>-J74</f>
        <v>-227011.84360973176</v>
      </c>
      <c r="K75" s="955">
        <f>-K74</f>
        <v>-226296.85296351433</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866317.24250310217</v>
      </c>
      <c r="C78" s="954">
        <f>IF($B$26="","",-FV('Part II-Sources of Funds'!$K$40/12,12,C72/12,B78))</f>
        <v>731383.71754671948</v>
      </c>
      <c r="D78" s="954">
        <f>IF($B$26="","",-FV('Part II-Sources of Funds'!$K$40/12,12,D72/12,C78))</f>
        <v>587324.63875593245</v>
      </c>
      <c r="E78" s="954">
        <f>IF($B$26="","",-FV('Part II-Sources of Funds'!$K$40/12,12,E72/12,D78))</f>
        <v>433522.84495592176</v>
      </c>
      <c r="F78" s="954">
        <f>IF($B$26="","",-FV('Part II-Sources of Funds'!$K$40/12,12,F72/12,E78))</f>
        <v>269319.43636371149</v>
      </c>
      <c r="G78" s="954">
        <f>IF($B$26="","",-FV('Part II-Sources of Funds'!$K$40/12,12,G72/12,F78))</f>
        <v>94010.951806241501</v>
      </c>
      <c r="H78" s="954">
        <f>IF($B$26="","",-FV('Part II-Sources of Funds'!$K$40/12,12,H72/12,G78))</f>
        <v>-93153.644966292573</v>
      </c>
      <c r="I78" s="954">
        <f>IF($B$26="","",-FV('Part II-Sources of Funds'!$K$40/12,12,I72/12,H78))</f>
        <v>-99648.780543941102</v>
      </c>
      <c r="J78" s="954">
        <f>IF($B$26="","",-FV('Part II-Sources of Funds'!$K$40/12,12,J72/12,I78))</f>
        <v>-106583.18211864073</v>
      </c>
      <c r="K78" s="954">
        <f>IF($B$26="","",-FV('Part II-Sources of Funds'!$K$40/12,12,K72/12,J78))</f>
        <v>-113986.55724827977</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5" style="516" customWidth="1"/>
    <col min="9" max="9" width="10.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Fairhaven on Campbellton</v>
      </c>
    </row>
    <row r="2" spans="1:15" ht="13.5" customHeight="1"/>
    <row r="3" spans="1:15" ht="13.5" customHeight="1">
      <c r="A3" s="517" t="s">
        <v>2706</v>
      </c>
      <c r="C3" s="516" t="s">
        <v>2707</v>
      </c>
      <c r="E3" s="586">
        <f>SUM('Part III-A-Uses of Funds'!J162,'Part III-A-Uses of Funds'!M162,'Part III-A-Uses of Funds'!P162)</f>
        <v>14679561</v>
      </c>
      <c r="F3" s="1024" t="s">
        <v>2708</v>
      </c>
      <c r="H3" s="1006">
        <v>27.5</v>
      </c>
      <c r="I3" s="516" t="s">
        <v>2273</v>
      </c>
      <c r="K3" s="521" t="s">
        <v>2729</v>
      </c>
      <c r="M3" s="1024"/>
      <c r="O3" s="587"/>
    </row>
    <row r="4" spans="1:15" ht="13.5" customHeight="1">
      <c r="C4" s="516" t="s">
        <v>3127</v>
      </c>
      <c r="E4" s="586">
        <f>SUM('Part III-A-Uses of Funds'!G97:H101)</f>
        <v>46500</v>
      </c>
      <c r="F4" s="1024" t="s">
        <v>3661</v>
      </c>
      <c r="H4" s="517">
        <f>'Part II-Sources of Funds'!M40</f>
        <v>40</v>
      </c>
      <c r="I4" s="516" t="s">
        <v>2273</v>
      </c>
      <c r="K4" s="588" t="s">
        <v>2957</v>
      </c>
      <c r="M4" s="1024"/>
    </row>
    <row r="5" spans="1:15" ht="13.5" customHeight="1">
      <c r="C5" s="516" t="s">
        <v>3128</v>
      </c>
      <c r="E5" s="586">
        <f>SUM('Part III-A-Uses of Funds'!G105:H111)</f>
        <v>153600</v>
      </c>
      <c r="F5" s="1024" t="s">
        <v>3660</v>
      </c>
      <c r="H5" s="1006">
        <v>15</v>
      </c>
      <c r="I5" s="516" t="s">
        <v>2273</v>
      </c>
      <c r="K5" s="587">
        <f>-E6</f>
        <v>-17270773</v>
      </c>
    </row>
    <row r="6" spans="1:15" ht="13.5" customHeight="1">
      <c r="C6" s="516" t="s">
        <v>2709</v>
      </c>
      <c r="E6" s="589">
        <f>'Part II-Sources of Funds'!$I$51+'Part II-Sources of Funds'!$I$52</f>
        <v>17270773</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612.48251966437965</v>
      </c>
      <c r="D9" s="594">
        <f>'Part VI-Pro Forma'!C33</f>
        <v>1941.9258476643445</v>
      </c>
      <c r="E9" s="594">
        <f>'Part VI-Pro Forma'!D33</f>
        <v>3201.4984422243288</v>
      </c>
      <c r="F9" s="594">
        <f>'Part VI-Pro Forma'!E33</f>
        <v>4389.2433006756328</v>
      </c>
      <c r="G9" s="594">
        <f>'Part VI-Pro Forma'!F33</f>
        <v>5499.0384926557745</v>
      </c>
      <c r="H9" s="594">
        <f>'Part VI-Pro Forma'!G33</f>
        <v>6527.5912879266398</v>
      </c>
      <c r="I9" s="594">
        <f>'Part VI-Pro Forma'!H33</f>
        <v>7469.4320895369019</v>
      </c>
      <c r="K9" s="587" t="e">
        <f>F24</f>
        <v>#VALUE!</v>
      </c>
      <c r="N9" s="595" t="s">
        <v>2715</v>
      </c>
    </row>
    <row r="10" spans="1:15" ht="13.5" customHeight="1">
      <c r="A10" s="516" t="s">
        <v>2714</v>
      </c>
      <c r="C10" s="978">
        <f>'Part II-Sources of Funds'!I40-'Part VI-Pro Forma'!B40</f>
        <v>14107.911241351627</v>
      </c>
      <c r="D10" s="596">
        <f>'Part VI-Pro Forma'!B40-'Part VI-Pro Forma'!C40</f>
        <v>15062.029230677057</v>
      </c>
      <c r="E10" s="596">
        <f>'Part VI-Pro Forma'!C40-'Part VI-Pro Forma'!D40</f>
        <v>16080.674216378946</v>
      </c>
      <c r="F10" s="596">
        <f>'Part VI-Pro Forma'!D40-'Part VI-Pro Forma'!E40</f>
        <v>17168.210159003269</v>
      </c>
      <c r="G10" s="596">
        <f>'Part VI-Pro Forma'!E40-'Part VI-Pro Forma'!F40</f>
        <v>18329.296153733041</v>
      </c>
      <c r="H10" s="596">
        <f>'Part VI-Pro Forma'!F40-'Part VI-Pro Forma'!G40</f>
        <v>19568.906390341464</v>
      </c>
      <c r="I10" s="596">
        <f>'Part VI-Pro Forma'!G40-'Part VI-Pro Forma'!H40</f>
        <v>20892.351463040803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-11750</v>
      </c>
      <c r="D13" s="979">
        <f>'Part VI-Pro Forma'!C23</f>
        <v>-12102.5</v>
      </c>
      <c r="E13" s="979">
        <f>'Part VI-Pro Forma'!D23</f>
        <v>-12465.574999999999</v>
      </c>
      <c r="F13" s="979">
        <f>'Part VI-Pro Forma'!E23</f>
        <v>-12839.54225</v>
      </c>
      <c r="G13" s="979">
        <f>'Part VI-Pro Forma'!F23</f>
        <v>-13224.7285175</v>
      </c>
      <c r="H13" s="979">
        <f>'Part VI-Pro Forma'!G23</f>
        <v>-13621.470373024998</v>
      </c>
      <c r="I13" s="979">
        <f>'Part VI-Pro Forma'!H23</f>
        <v>-14030.114484215748</v>
      </c>
      <c r="K13" s="587" t="e">
        <f>C44</f>
        <v>#VALUE!</v>
      </c>
      <c r="O13" s="592"/>
    </row>
    <row r="14" spans="1:15" ht="13.5" customHeight="1">
      <c r="A14" s="598" t="s">
        <v>3130</v>
      </c>
      <c r="B14" s="598"/>
      <c r="C14" s="979">
        <f>'Part VI-Pro Forma'!B32</f>
        <v>-29631.066666666666</v>
      </c>
      <c r="D14" s="979">
        <f>'Part VI-Pro Forma'!C32</f>
        <v>-29631.066666666666</v>
      </c>
      <c r="E14" s="979">
        <f>'Part VI-Pro Forma'!D32</f>
        <v>-29631.066666666666</v>
      </c>
      <c r="F14" s="979">
        <f>'Part VI-Pro Forma'!E32</f>
        <v>-29631.066666666666</v>
      </c>
      <c r="G14" s="979">
        <f>'Part VI-Pro Forma'!F32</f>
        <v>-29631.066666666666</v>
      </c>
      <c r="H14" s="979">
        <f>'Part VI-Pro Forma'!G32</f>
        <v>-29631.066666666666</v>
      </c>
      <c r="I14" s="979">
        <f>'Part VI-Pro Forma'!H32</f>
        <v>-29631.066666666666</v>
      </c>
      <c r="K14" s="587" t="e">
        <f>D44</f>
        <v>#VALUE!</v>
      </c>
      <c r="M14" s="516" t="s">
        <v>2721</v>
      </c>
      <c r="O14" s="592" t="e">
        <f>O6-O8-O12</f>
        <v>#VALUE!</v>
      </c>
    </row>
    <row r="15" spans="1:15" ht="13.5" customHeight="1">
      <c r="A15" s="516" t="s">
        <v>2717</v>
      </c>
      <c r="C15" s="599">
        <f t="shared" ref="C15:I15" si="0">$E$3/$H$3</f>
        <v>533802.21818181814</v>
      </c>
      <c r="D15" s="599">
        <f t="shared" si="0"/>
        <v>533802.21818181814</v>
      </c>
      <c r="E15" s="599">
        <f t="shared" si="0"/>
        <v>533802.21818181814</v>
      </c>
      <c r="F15" s="599">
        <f t="shared" si="0"/>
        <v>533802.21818181814</v>
      </c>
      <c r="G15" s="599">
        <f t="shared" si="0"/>
        <v>533802.21818181814</v>
      </c>
      <c r="H15" s="599">
        <f t="shared" si="0"/>
        <v>533802.21818181814</v>
      </c>
      <c r="I15" s="599">
        <f t="shared" si="0"/>
        <v>533802.21818181814</v>
      </c>
      <c r="K15" s="587" t="e">
        <f>E44</f>
        <v>#VALUE!</v>
      </c>
      <c r="O15" s="592"/>
    </row>
    <row r="16" spans="1:15" ht="13.5" customHeight="1">
      <c r="A16" s="516" t="s">
        <v>2719</v>
      </c>
      <c r="C16" s="599">
        <f>IF(C$8&lt;=$H$4,($E$4/$H$4),0)+IF(C$8&lt;=$H$5,($E$5/$H$5),0)</f>
        <v>11402.5</v>
      </c>
      <c r="D16" s="599">
        <f t="shared" ref="D16:I16" si="1">IF(D$8&lt;=$H$4,($E$4/$H$4),0)+IF(D$8&lt;=$H$5,($E$5/$H$5),0)</f>
        <v>11402.5</v>
      </c>
      <c r="E16" s="599">
        <f t="shared" si="1"/>
        <v>11402.5</v>
      </c>
      <c r="F16" s="599">
        <f t="shared" si="1"/>
        <v>11402.5</v>
      </c>
      <c r="G16" s="599">
        <f t="shared" si="1"/>
        <v>11402.5</v>
      </c>
      <c r="H16" s="599">
        <f t="shared" si="1"/>
        <v>11402.5</v>
      </c>
      <c r="I16" s="599">
        <f t="shared" si="1"/>
        <v>11402.5</v>
      </c>
      <c r="K16" s="587" t="e">
        <f>F44</f>
        <v>#VALUE!</v>
      </c>
      <c r="M16" s="516" t="s">
        <v>2723</v>
      </c>
      <c r="O16" s="592">
        <f>E3</f>
        <v>14679561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10676044.363636363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4003516.6363636367</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4003516.6363636367</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-4003516.6363636367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8318.9081661265955</v>
      </c>
      <c r="D29" s="594">
        <f>'Part VI-Pro Forma'!J33</f>
        <v>9072.1771769642801</v>
      </c>
      <c r="E29" s="594">
        <f>'Part VI-Pro Forma'!K33</f>
        <v>9722.2004831157828</v>
      </c>
      <c r="F29" s="594">
        <f>'Part VI-Pro Forma'!B65</f>
        <v>10265.736237940393</v>
      </c>
      <c r="G29" s="594">
        <f>'Part VI-Pro Forma'!C65</f>
        <v>10695.332249888117</v>
      </c>
      <c r="H29" s="594">
        <f>'Part VI-Pro Forma'!D65</f>
        <v>11005.318610362578</v>
      </c>
      <c r="I29" s="594">
        <f>'Part VI-Pro Forma'!E65</f>
        <v>11188.800079182503</v>
      </c>
      <c r="N29" s="603"/>
      <c r="O29" s="603"/>
    </row>
    <row r="30" spans="1:17" ht="13.5" customHeight="1">
      <c r="A30" s="516" t="s">
        <v>2714</v>
      </c>
      <c r="C30" s="596">
        <f>'Part VI-Pro Forma'!H40-'Part VI-Pro Forma'!I40</f>
        <v>22305.301121511031</v>
      </c>
      <c r="D30" s="596">
        <f>'Part VI-Pro Forma'!I40-'Part VI-Pro Forma'!J40</f>
        <v>23813.808560583275</v>
      </c>
      <c r="E30" s="596">
        <f>'Part VI-Pro Forma'!J40-'Part VI-Pro Forma'!K40</f>
        <v>25424.336352635175</v>
      </c>
      <c r="F30" s="976">
        <f>'Part VI-Pro Forma'!K40-'Part VI-Pro Forma'!B72</f>
        <v>27143.784133792389</v>
      </c>
      <c r="G30" s="976">
        <f>'Part VI-Pro Forma'!B72-'Part VI-Pro Forma'!C72</f>
        <v>28979.518162548076</v>
      </c>
      <c r="H30" s="976">
        <f>'Part VI-Pro Forma'!C72-'Part VI-Pro Forma'!D72</f>
        <v>30939.402877431829</v>
      </c>
      <c r="I30" s="976">
        <f>'Part VI-Pro Forma'!D72-'Part VI-Pro Forma'!E72</f>
        <v>33031.834588925354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-800703.32727272739</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-14451.017918742222</v>
      </c>
      <c r="D33" s="979">
        <f>'Part VI-Pro Forma'!J23</f>
        <v>-14884.548456304487</v>
      </c>
      <c r="E33" s="979">
        <f>'Part VI-Pro Forma'!K23</f>
        <v>-15331.084909993622</v>
      </c>
      <c r="F33" s="979">
        <f>'Part VI-Pro Forma'!B55</f>
        <v>-15791.01745729343</v>
      </c>
      <c r="G33" s="979">
        <f>'Part VI-Pro Forma'!C55</f>
        <v>-16264.747981012235</v>
      </c>
      <c r="H33" s="979">
        <f>'Part VI-Pro Forma'!D55</f>
        <v>-16752.690420442599</v>
      </c>
      <c r="I33" s="979">
        <f>'Part VI-Pro Forma'!E55</f>
        <v>-17255.271133055878</v>
      </c>
      <c r="K33" s="516" t="s">
        <v>233</v>
      </c>
      <c r="M33" s="516" t="s">
        <v>2734</v>
      </c>
      <c r="O33" s="594" t="e">
        <f>O14-O31</f>
        <v>#VALUE!</v>
      </c>
    </row>
    <row r="34" spans="1:15" ht="13.5" customHeight="1">
      <c r="A34" s="598" t="s">
        <v>3130</v>
      </c>
      <c r="B34" s="598"/>
      <c r="C34" s="979">
        <f>'Part VI-Pro Forma'!I32</f>
        <v>-29631.066666666666</v>
      </c>
      <c r="D34" s="979">
        <f>'Part VI-Pro Forma'!J32</f>
        <v>-29631.066666666666</v>
      </c>
      <c r="E34" s="979">
        <f>'Part VI-Pro Forma'!K32</f>
        <v>-29631.066666666666</v>
      </c>
      <c r="F34" s="979">
        <f>'Part VI-Pro Forma'!B64</f>
        <v>-29631.066666666666</v>
      </c>
      <c r="G34" s="979">
        <f>'Part VI-Pro Forma'!C64</f>
        <v>-29631.066666666666</v>
      </c>
      <c r="H34" s="979">
        <f>'Part VI-Pro Forma'!D64</f>
        <v>-29631.066666666666</v>
      </c>
      <c r="I34" s="979">
        <f>'Part VI-Pro Forma'!E64</f>
        <v>-29631.066666666666</v>
      </c>
    </row>
    <row r="35" spans="1:15" ht="13.5" customHeight="1">
      <c r="A35" s="516" t="s">
        <v>2717</v>
      </c>
      <c r="C35" s="599">
        <f t="shared" ref="C35:I35" si="8">$E$3/$H$3</f>
        <v>533802.21818181814</v>
      </c>
      <c r="D35" s="599">
        <f t="shared" si="8"/>
        <v>533802.21818181814</v>
      </c>
      <c r="E35" s="599">
        <f t="shared" si="8"/>
        <v>533802.21818181814</v>
      </c>
      <c r="F35" s="599">
        <f t="shared" si="8"/>
        <v>533802.21818181814</v>
      </c>
      <c r="G35" s="599">
        <f t="shared" si="8"/>
        <v>533802.21818181814</v>
      </c>
      <c r="H35" s="599">
        <f t="shared" si="8"/>
        <v>533802.21818181814</v>
      </c>
      <c r="I35" s="599">
        <f t="shared" si="8"/>
        <v>533802.21818181814</v>
      </c>
    </row>
    <row r="36" spans="1:15" ht="13.5" customHeight="1">
      <c r="A36" s="516" t="s">
        <v>2719</v>
      </c>
      <c r="C36" s="594">
        <f>IF(C$28&lt;=$H$4,($E$4/$H$4),0)+IF(C$28&lt;=$H$5,($E$5/$H$5),0)</f>
        <v>11402.5</v>
      </c>
      <c r="D36" s="594">
        <f t="shared" ref="D36:I36" si="9">IF(D$28&lt;=$H$4,($E$4/$H$4),0)+IF(D$28&lt;=$H$5,($E$5/$H$5),0)</f>
        <v>11402.5</v>
      </c>
      <c r="E36" s="594">
        <f t="shared" si="9"/>
        <v>11402.5</v>
      </c>
      <c r="F36" s="594">
        <f t="shared" si="9"/>
        <v>11402.5</v>
      </c>
      <c r="G36" s="594">
        <f t="shared" si="9"/>
        <v>11402.5</v>
      </c>
      <c r="H36" s="594">
        <f t="shared" si="9"/>
        <v>11402.5</v>
      </c>
      <c r="I36" s="594">
        <f t="shared" si="9"/>
        <v>11402.5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11241.648219948853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35265.777449958958</v>
      </c>
      <c r="D50" s="977">
        <f>'Part VI-Pro Forma'!F72-'Part VI-Pro Forma'!G72</f>
        <v>37650.801859094761</v>
      </c>
      <c r="E50" s="977">
        <f>'Part VI-Pro Forma'!G72-'Part VI-Pro Forma'!H72</f>
        <v>40197.125460918061</v>
      </c>
      <c r="F50" s="977">
        <f>'Part VI-Pro Forma'!H72-'Part VI-Pro Forma'!I72</f>
        <v>-150411.74531949451</v>
      </c>
      <c r="G50" s="977">
        <f>'Part VI-Pro Forma'!I72-'Part VI-Pro Forma'!J72</f>
        <v>-160584.09114447376</v>
      </c>
      <c r="H50" s="977">
        <f>'Part VI-Pro Forma'!J72-'Part VI-Pro Forma'!K72</f>
        <v>-171444.39268303849</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-17772.929267047555</v>
      </c>
      <c r="D53" s="979">
        <f>'Part VI-Pro Forma'!G55</f>
        <v>-18306.117145058983</v>
      </c>
      <c r="E53" s="979">
        <f>'Part VI-Pro Forma'!H55</f>
        <v>-18855.300659410746</v>
      </c>
      <c r="F53" s="979">
        <f>'Part VI-Pro Forma'!I55</f>
        <v>-19420.959679193071</v>
      </c>
      <c r="G53" s="979">
        <f>'Part VI-Pro Forma'!J55</f>
        <v>-20003.588469568862</v>
      </c>
      <c r="H53" s="979">
        <f>'Part VI-Pro Forma'!K55</f>
        <v>-20603.696123655929</v>
      </c>
    </row>
    <row r="54" spans="1:10" ht="13.5" customHeight="1">
      <c r="A54" s="598" t="s">
        <v>3130</v>
      </c>
      <c r="C54" s="980">
        <f>'Part VI-Pro Forma'!F64</f>
        <v>-29631.066666666666</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533802.21818181814</v>
      </c>
      <c r="D55" s="599">
        <f t="shared" si="14"/>
        <v>533802.21818181814</v>
      </c>
      <c r="E55" s="599">
        <f t="shared" si="14"/>
        <v>533802.21818181814</v>
      </c>
      <c r="F55" s="599">
        <f t="shared" si="14"/>
        <v>533802.21818181814</v>
      </c>
      <c r="G55" s="599">
        <f t="shared" si="14"/>
        <v>533802.21818181814</v>
      </c>
      <c r="H55" s="599">
        <f t="shared" si="14"/>
        <v>533802.21818181814</v>
      </c>
    </row>
    <row r="56" spans="1:10" ht="13.5" customHeight="1">
      <c r="A56" s="516" t="s">
        <v>2719</v>
      </c>
      <c r="C56" s="594">
        <f t="shared" ref="C56:H56" si="15">IF(C$48&lt;=$H$4,($E$4/$H$4),0)+IF(C$48&lt;=$H$5,($E$5/$H$5),0)</f>
        <v>11402.5</v>
      </c>
      <c r="D56" s="594">
        <f t="shared" si="15"/>
        <v>1162.5</v>
      </c>
      <c r="E56" s="594">
        <f t="shared" si="15"/>
        <v>1162.5</v>
      </c>
      <c r="F56" s="594">
        <f t="shared" si="15"/>
        <v>1162.5</v>
      </c>
      <c r="G56" s="594">
        <f t="shared" si="15"/>
        <v>1162.5</v>
      </c>
      <c r="H56" s="594">
        <f t="shared" si="15"/>
        <v>1162.5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432" customWidth="1"/>
    <col min="2" max="2" width="16.6640625" style="432" customWidth="1"/>
    <col min="3" max="3" width="4.6640625" style="432" customWidth="1"/>
    <col min="4" max="4" width="6.5" style="432" customWidth="1"/>
    <col min="5" max="5" width="16.6640625" style="432" customWidth="1"/>
    <col min="6" max="6" width="4.6640625" style="432" customWidth="1"/>
    <col min="7" max="7" width="6.5" style="432" customWidth="1"/>
    <col min="8" max="8" width="16.6640625" style="432" customWidth="1"/>
    <col min="9" max="9" width="4.6640625" style="432" customWidth="1"/>
    <col min="10" max="10" width="6.5" style="432" customWidth="1"/>
    <col min="11" max="11" width="16.6640625" style="432" customWidth="1"/>
    <col min="12" max="16384" width="9.33203125" style="432"/>
  </cols>
  <sheetData>
    <row r="1" spans="1:11" s="439" customFormat="1" ht="17.75" customHeight="1">
      <c r="A1" s="4771" t="str">
        <f>'Sensitivity Analysis'!C8</f>
        <v>Fairhaven on Campbellton</v>
      </c>
      <c r="B1" s="4771"/>
      <c r="C1" s="4771"/>
      <c r="D1" s="4771"/>
      <c r="E1" s="4771"/>
      <c r="F1" s="4771"/>
      <c r="G1" s="4771"/>
      <c r="H1" s="4771"/>
      <c r="I1" s="4771"/>
      <c r="J1" s="4771"/>
      <c r="K1" s="4771"/>
    </row>
    <row r="2" spans="1:11" s="439" customFormat="1" ht="17.75"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5" customHeight="1">
      <c r="A4" s="4772" t="s">
        <v>6060</v>
      </c>
      <c r="B4" s="4772"/>
      <c r="C4" s="1476"/>
      <c r="D4" s="4772" t="s">
        <v>6061</v>
      </c>
      <c r="E4" s="4772"/>
      <c r="F4" s="523"/>
      <c r="G4" s="4772" t="s">
        <v>6062</v>
      </c>
      <c r="H4" s="4772"/>
      <c r="I4" s="523"/>
      <c r="J4" s="4772" t="s">
        <v>6177</v>
      </c>
      <c r="K4" s="4772"/>
    </row>
    <row r="5" spans="1:11" ht="26" customHeight="1">
      <c r="A5" s="4773" t="str">
        <f>'Part II-Sources of Funds'!E40</f>
        <v>Legacy Bank - Construction-to-Perm (Loan B)</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6">
      <c r="A7" s="982"/>
      <c r="B7" s="982" t="s">
        <v>2736</v>
      </c>
      <c r="D7" s="982"/>
      <c r="E7" s="982" t="s">
        <v>2736</v>
      </c>
      <c r="G7" s="982"/>
      <c r="H7" s="982" t="s">
        <v>2736</v>
      </c>
      <c r="J7" s="982"/>
      <c r="K7" s="982" t="s">
        <v>2736</v>
      </c>
    </row>
    <row r="8" spans="1:11" ht="1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15631.801434472412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15631.801434472412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15631.801434472412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15631.801434472412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15631.801434472412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15631.801434472412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15631.801434472412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15631.801434472412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15631.801434472412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15631.801434472412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15631.801434472412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15631.801434472412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15631.801434472412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15631.801434472412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15631.801434472412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15631.801434472412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15631.801434472412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2" customWidth="1"/>
    <col min="2" max="2" width="0.6640625" style="432" customWidth="1"/>
    <col min="3" max="3" width="16.5" style="432" customWidth="1"/>
    <col min="4" max="4" width="18.33203125" style="432" customWidth="1"/>
    <col min="5" max="5" width="16.5" style="432" customWidth="1"/>
    <col min="6" max="6" width="13.33203125" style="432" customWidth="1"/>
    <col min="7" max="7" width="14.5" style="432" customWidth="1"/>
    <col min="8" max="8" width="5.6640625" style="432" customWidth="1"/>
    <col min="9" max="16384" width="9.33203125" style="432"/>
  </cols>
  <sheetData>
    <row r="1" spans="1:11" ht="12" customHeight="1">
      <c r="A1" s="4775" t="str">
        <f>CONCATENATE('Sensitivity Analysis'!E8,"  ",'Sensitivity Analysis'!C8)</f>
        <v>2023-0  Fairhaven on Campbellton</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3463</v>
      </c>
      <c r="E11" s="4779"/>
      <c r="F11" s="4779"/>
      <c r="G11" s="4779"/>
      <c r="H11" s="4779"/>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Fairhaven on Campbellton</v>
      </c>
    </row>
    <row r="16" spans="1:11" ht="12" customHeight="1">
      <c r="C16" s="432" t="s">
        <v>2744</v>
      </c>
      <c r="E16" s="4779"/>
      <c r="F16" s="4779"/>
      <c r="G16" s="4779"/>
      <c r="H16" s="4779"/>
    </row>
    <row r="17" spans="1:8" ht="12" customHeight="1">
      <c r="E17" s="438" t="str">
        <f>'Part I-Project Identification'!$F$26</f>
        <v>Atlanta</v>
      </c>
      <c r="F17" s="609" t="s">
        <v>791</v>
      </c>
      <c r="G17" s="4780" t="s">
        <v>6750</v>
      </c>
      <c r="H17" s="4780"/>
    </row>
    <row r="18" spans="1:8" ht="12" customHeight="1">
      <c r="E18" s="620" t="str">
        <f>(CONCATENATE('Part I-Project Identification'!$J$26," County"))</f>
        <v>Fulton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3459</v>
      </c>
      <c r="E23" s="1991"/>
    </row>
    <row r="24" spans="1:8" ht="12" customHeight="1">
      <c r="C24" s="432" t="s">
        <v>3462</v>
      </c>
      <c r="E24" s="1991"/>
    </row>
    <row r="25" spans="1:8" ht="12" customHeight="1">
      <c r="C25" s="432" t="s">
        <v>3463</v>
      </c>
      <c r="E25" s="4779"/>
      <c r="F25" s="4779"/>
      <c r="G25" s="4779"/>
      <c r="H25" s="4779"/>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2650000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3465</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47</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2706479.1597250816</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264113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85161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4">
      <c r="A1" s="4784" t="s">
        <v>2960</v>
      </c>
      <c r="B1" s="4784"/>
      <c r="C1" s="4784"/>
      <c r="D1" s="4784"/>
      <c r="E1" s="4784"/>
      <c r="F1" s="4784"/>
      <c r="G1" s="4784"/>
      <c r="H1" s="4784"/>
      <c r="I1" s="4784"/>
      <c r="J1" s="4784"/>
    </row>
    <row r="2" spans="1:13" ht="14">
      <c r="A2" s="4784" t="str">
        <f>'Sensitivity Analysis'!E8&amp;"  "&amp;'Sensitivity Analysis'!C8</f>
        <v>2023-0  Fairhaven on Campbellton</v>
      </c>
      <c r="B2" s="4784"/>
      <c r="C2" s="4784"/>
      <c r="D2" s="4784"/>
      <c r="E2" s="4784"/>
      <c r="F2" s="4784"/>
      <c r="G2" s="4784"/>
      <c r="H2" s="4784"/>
      <c r="I2" s="4784"/>
      <c r="J2" s="4784"/>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Fairhaven on Campbellton</v>
      </c>
      <c r="I28" s="560"/>
    </row>
    <row r="29" spans="1:9" ht="3" customHeight="1">
      <c r="C29" s="613"/>
      <c r="I29" s="560"/>
    </row>
    <row r="30" spans="1:9" ht="12" customHeight="1">
      <c r="A30" s="432" t="s">
        <v>2791</v>
      </c>
      <c r="C30" s="613">
        <f>'Preview term'!E16</f>
        <v>0</v>
      </c>
      <c r="I30" s="560"/>
    </row>
    <row r="31" spans="1:9">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10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6165</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3108</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3109</v>
      </c>
      <c r="E53" s="4788"/>
      <c r="F53" s="4788"/>
      <c r="G53" s="4788"/>
      <c r="H53" s="4788"/>
      <c r="I53" s="4788"/>
      <c r="J53" s="4788"/>
    </row>
    <row r="54" spans="1:10" ht="12" customHeight="1">
      <c r="A54" s="617"/>
      <c r="B54" s="617"/>
      <c r="C54" s="617"/>
      <c r="D54" s="619" t="s">
        <v>3110</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2650000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204</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2706479.1597250816</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Legacy Bank - Construction-to-Perm Loan (Loan B)</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Legacy Bank - Construction-to-Perm (Loan B)</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6169</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424017</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3"/>
      <c r="F166" s="4783"/>
      <c r="G166" s="4783"/>
      <c r="I166" s="560"/>
    </row>
    <row r="167" spans="1:9" ht="3" customHeight="1">
      <c r="E167" s="560"/>
      <c r="G167" s="560"/>
      <c r="I167" s="560"/>
    </row>
    <row r="168" spans="1:9" ht="12" customHeight="1">
      <c r="A168" s="432" t="s">
        <v>2866</v>
      </c>
      <c r="C168" s="432" t="s">
        <v>2867</v>
      </c>
      <c r="E168" s="632">
        <f>'Preview term'!F74</f>
        <v>264113</v>
      </c>
      <c r="G168" s="560"/>
      <c r="I168" s="560"/>
    </row>
    <row r="169" spans="1:9" ht="12" customHeight="1">
      <c r="C169" s="432" t="s">
        <v>3115</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11750</v>
      </c>
      <c r="F174" s="560" t="s">
        <v>2871</v>
      </c>
    </row>
    <row r="175" spans="1:9">
      <c r="E175" s="632">
        <f>E174/12</f>
        <v>979.16666666666663</v>
      </c>
      <c r="F175" s="560" t="s">
        <v>2736</v>
      </c>
    </row>
    <row r="176" spans="1:9" ht="12" customHeight="1">
      <c r="C176" s="432" t="s">
        <v>3116</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85161</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4">
      <c r="A204" s="522" t="s">
        <v>6153</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1"/>
      <c r="B213" s="1251"/>
      <c r="C213" s="1251"/>
      <c r="D213" s="1251"/>
      <c r="E213" s="1251"/>
      <c r="F213" s="1251"/>
      <c r="G213" s="1251"/>
      <c r="H213" s="1251"/>
      <c r="I213" s="1251"/>
      <c r="J213" s="1251"/>
    </row>
    <row r="214" spans="1:10" s="516" customFormat="1" ht="19.5" customHeight="1">
      <c r="A214" s="4752" t="s">
        <v>6156</v>
      </c>
      <c r="B214" s="4752"/>
      <c r="C214" s="4752"/>
      <c r="D214" s="1249"/>
      <c r="E214" s="1249"/>
      <c r="F214" s="1249"/>
      <c r="G214" s="1249"/>
      <c r="H214" s="1249"/>
      <c r="I214" s="1249"/>
      <c r="J214" s="1249"/>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327" customWidth="1"/>
    <col min="2" max="2" width="6.33203125" style="1327" customWidth="1"/>
    <col min="3" max="3" width="9.6640625" style="1327" customWidth="1"/>
    <col min="4" max="4" width="10.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9" thickBot="1">
      <c r="A2" s="1374" t="s">
        <v>3966</v>
      </c>
      <c r="B2" s="1374"/>
      <c r="C2" s="1374"/>
      <c r="D2" s="1374"/>
      <c r="E2" s="1374"/>
      <c r="F2" s="1374"/>
      <c r="G2" s="1374"/>
      <c r="H2" s="1374"/>
    </row>
    <row r="3" spans="1:11" ht="15" customHeight="1" thickBot="1">
      <c r="A3" s="1328" t="s">
        <v>3967</v>
      </c>
      <c r="B3" s="1329"/>
      <c r="C3" s="1330"/>
      <c r="D3" s="4168" t="str">
        <f>'Part I-Project Identification'!F25</f>
        <v>Fairhaven on Campbellton</v>
      </c>
      <c r="E3" s="4169"/>
      <c r="F3" s="4169"/>
      <c r="G3" s="4169"/>
      <c r="H3" s="4169"/>
      <c r="I3" s="4169"/>
      <c r="J3" s="4822" t="s">
        <v>3970</v>
      </c>
      <c r="K3" s="4823"/>
    </row>
    <row r="4" spans="1:11" ht="15" customHeight="1">
      <c r="A4" s="1332" t="s">
        <v>3968</v>
      </c>
      <c r="B4" s="1333"/>
      <c r="C4" s="1334"/>
      <c r="D4" s="4818">
        <f>'Preview term'!$E$16</f>
        <v>0</v>
      </c>
      <c r="E4" s="4819"/>
      <c r="F4" s="4819"/>
      <c r="G4" s="4819"/>
      <c r="H4" s="4819"/>
      <c r="I4" s="4819"/>
      <c r="J4" s="4174" t="s">
        <v>4009</v>
      </c>
      <c r="K4" s="4175"/>
    </row>
    <row r="5" spans="1:11" ht="15" customHeight="1" thickBot="1">
      <c r="A5" s="1335" t="s">
        <v>3969</v>
      </c>
      <c r="B5" s="1336"/>
      <c r="C5" s="1337"/>
      <c r="D5" s="4820"/>
      <c r="E5" s="4821"/>
      <c r="F5" s="4821"/>
      <c r="G5" s="4821"/>
      <c r="H5" s="4821"/>
      <c r="I5" s="4821"/>
      <c r="J5" s="4176"/>
      <c r="K5" s="4177"/>
    </row>
    <row r="6" spans="1:11" ht="9" customHeight="1" thickBot="1">
      <c r="E6" s="1327"/>
    </row>
    <row r="7" spans="1:11">
      <c r="A7" s="4186" t="s">
        <v>3971</v>
      </c>
      <c r="B7" s="4187"/>
      <c r="C7" s="4187"/>
      <c r="D7" s="4187"/>
      <c r="E7" s="4187"/>
      <c r="F7" s="4187"/>
      <c r="G7" s="4187"/>
      <c r="H7" s="4187"/>
      <c r="I7" s="4187"/>
      <c r="J7" s="4187"/>
      <c r="K7" s="4188"/>
    </row>
    <row r="8" spans="1:11" ht="14.25" customHeight="1">
      <c r="A8" s="1333"/>
      <c r="B8" s="1333"/>
      <c r="C8" s="1365">
        <v>1</v>
      </c>
      <c r="D8" s="1352" t="s">
        <v>3972</v>
      </c>
      <c r="E8" s="1352"/>
      <c r="F8" s="1352"/>
      <c r="G8" s="1352"/>
      <c r="H8" s="1352"/>
      <c r="I8" s="1352"/>
      <c r="J8" s="4799"/>
      <c r="K8" s="4800"/>
    </row>
    <row r="9" spans="1:11" ht="7.25" customHeight="1">
      <c r="A9" s="4123"/>
      <c r="B9" s="4123"/>
      <c r="C9" s="4123"/>
      <c r="D9" s="4124"/>
      <c r="E9" s="4124"/>
      <c r="F9" s="4124"/>
      <c r="G9" s="4124"/>
      <c r="H9" s="4124"/>
      <c r="I9" s="4124"/>
      <c r="J9" s="4124"/>
      <c r="K9" s="1353"/>
    </row>
    <row r="10" spans="1:11">
      <c r="A10" s="4189" t="s">
        <v>3973</v>
      </c>
      <c r="B10" s="4190"/>
      <c r="C10" s="4190"/>
      <c r="D10" s="4190"/>
      <c r="E10" s="4190"/>
      <c r="F10" s="4190"/>
      <c r="G10" s="4190"/>
      <c r="H10" s="4190"/>
      <c r="I10" s="4190"/>
      <c r="J10" s="4190"/>
      <c r="K10" s="4191"/>
    </row>
    <row r="11" spans="1:11" ht="14.25" customHeight="1">
      <c r="A11" s="1333"/>
      <c r="B11" s="1333"/>
      <c r="C11" s="1365">
        <v>2</v>
      </c>
      <c r="D11" s="1352" t="s">
        <v>3974</v>
      </c>
      <c r="E11" s="1354"/>
      <c r="F11" s="1354"/>
      <c r="G11" s="1354"/>
      <c r="H11" s="1354"/>
      <c r="I11" s="1354"/>
      <c r="J11" s="4797"/>
      <c r="K11" s="4798"/>
    </row>
    <row r="12" spans="1:11" ht="7.25" customHeight="1">
      <c r="A12" s="4123"/>
      <c r="B12" s="4123"/>
      <c r="C12" s="4123"/>
      <c r="D12" s="4124"/>
      <c r="E12" s="4124"/>
      <c r="F12" s="4124"/>
      <c r="G12" s="4124"/>
      <c r="H12" s="4124"/>
      <c r="I12" s="4124"/>
      <c r="J12" s="4124"/>
      <c r="K12" s="1355"/>
    </row>
    <row r="13" spans="1:11">
      <c r="A13" s="4189" t="s">
        <v>3975</v>
      </c>
      <c r="B13" s="4190"/>
      <c r="C13" s="4190"/>
      <c r="D13" s="4190"/>
      <c r="E13" s="4190"/>
      <c r="F13" s="4190"/>
      <c r="G13" s="4190"/>
      <c r="H13" s="4190"/>
      <c r="I13" s="4190"/>
      <c r="J13" s="4190"/>
      <c r="K13" s="4191"/>
    </row>
    <row r="14" spans="1:11" ht="14.25" customHeight="1">
      <c r="A14" s="1333"/>
      <c r="B14" s="1333"/>
      <c r="C14" s="1366">
        <v>3</v>
      </c>
      <c r="D14" s="1356" t="s">
        <v>3976</v>
      </c>
      <c r="E14" s="1356"/>
      <c r="F14" s="1356"/>
      <c r="G14" s="1356"/>
      <c r="H14" s="1356"/>
      <c r="I14" s="1356"/>
      <c r="J14" s="4795"/>
      <c r="K14" s="4796"/>
    </row>
    <row r="15" spans="1:11" ht="14.25" customHeight="1">
      <c r="A15" s="1333"/>
      <c r="B15" s="1333"/>
      <c r="C15" s="1367">
        <v>4</v>
      </c>
      <c r="D15" s="1333" t="s">
        <v>3977</v>
      </c>
      <c r="E15" s="1333"/>
      <c r="F15" s="1333"/>
      <c r="G15" s="1333"/>
      <c r="H15" s="1333"/>
      <c r="I15" s="1333"/>
      <c r="J15" s="4793"/>
      <c r="K15" s="4794"/>
    </row>
    <row r="16" spans="1:11" ht="14.25" customHeight="1">
      <c r="A16" s="1333"/>
      <c r="B16" s="1333"/>
      <c r="C16" s="1367">
        <v>5</v>
      </c>
      <c r="D16" s="1333" t="s">
        <v>3978</v>
      </c>
      <c r="E16" s="1333"/>
      <c r="F16" s="1333"/>
      <c r="G16" s="1333"/>
      <c r="H16" s="1333"/>
      <c r="I16" s="1333"/>
      <c r="J16" s="4793"/>
      <c r="K16" s="4794"/>
    </row>
    <row r="17" spans="1:13" ht="14.25" customHeight="1">
      <c r="A17" s="1333"/>
      <c r="B17" s="1333"/>
      <c r="C17" s="1368">
        <v>6</v>
      </c>
      <c r="D17" s="1336" t="s">
        <v>3979</v>
      </c>
      <c r="E17" s="1336"/>
      <c r="F17" s="1336"/>
      <c r="G17" s="1336"/>
      <c r="H17" s="1336"/>
      <c r="I17" s="1336"/>
      <c r="J17" s="4801"/>
      <c r="K17" s="4802"/>
    </row>
    <row r="18" spans="1:13" ht="7.25" customHeight="1">
      <c r="A18" s="4123"/>
      <c r="B18" s="4123"/>
      <c r="C18" s="4123"/>
      <c r="D18" s="4124"/>
      <c r="E18" s="4124"/>
      <c r="F18" s="4124"/>
      <c r="G18" s="4124"/>
      <c r="H18" s="4124"/>
      <c r="I18" s="4124"/>
      <c r="J18" s="4124"/>
      <c r="K18" s="1355"/>
    </row>
    <row r="19" spans="1:13" ht="14.25" customHeight="1">
      <c r="A19" s="1333"/>
      <c r="B19" s="1333"/>
      <c r="C19" s="1366">
        <v>7</v>
      </c>
      <c r="D19" s="1356" t="s">
        <v>3980</v>
      </c>
      <c r="E19" s="1356"/>
      <c r="F19" s="1356"/>
      <c r="G19" s="1356"/>
      <c r="H19" s="1356"/>
      <c r="I19" s="1356"/>
      <c r="J19" s="4117" t="str">
        <f>IF(J17="No",J14-J15,IF(J17="Yes",J14-J15-J16,"Error"))</f>
        <v>Error</v>
      </c>
      <c r="K19" s="4118"/>
    </row>
    <row r="20" spans="1:13" ht="14.25" customHeight="1">
      <c r="A20" s="1333"/>
      <c r="B20" s="1333"/>
      <c r="C20" s="1368">
        <v>8</v>
      </c>
      <c r="D20" s="1336" t="s">
        <v>3981</v>
      </c>
      <c r="E20" s="1336"/>
      <c r="F20" s="1336"/>
      <c r="G20" s="1336"/>
      <c r="H20" s="1336"/>
      <c r="I20" s="1336"/>
      <c r="J20" s="4115" t="e">
        <f>ROUNDDOWN(J19/J8,2)</f>
        <v>#VALUE!</v>
      </c>
      <c r="K20" s="4116"/>
    </row>
    <row r="21" spans="1:13" ht="7.25" customHeight="1">
      <c r="A21" s="4123"/>
      <c r="B21" s="4123"/>
      <c r="C21" s="4123"/>
      <c r="D21" s="4124"/>
      <c r="E21" s="4124"/>
      <c r="F21" s="4124"/>
      <c r="G21" s="4124"/>
      <c r="H21" s="4124"/>
      <c r="I21" s="4124"/>
      <c r="J21" s="4124"/>
      <c r="K21" s="1355"/>
    </row>
    <row r="22" spans="1:13" ht="14.25" customHeight="1" thickBot="1">
      <c r="A22" s="1333"/>
      <c r="B22" s="1333"/>
      <c r="C22" s="1365">
        <v>9</v>
      </c>
      <c r="D22" s="1357" t="s">
        <v>3982</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4013</v>
      </c>
      <c r="B30" s="4157"/>
      <c r="C30" s="4157"/>
      <c r="D30" s="4157"/>
      <c r="E30" s="4157"/>
      <c r="F30" s="4157"/>
      <c r="G30" s="4157"/>
      <c r="H30" s="4157"/>
      <c r="I30" s="4157"/>
      <c r="J30" s="4157"/>
      <c r="K30" s="4158"/>
    </row>
    <row r="31" spans="1:13">
      <c r="B31" s="4807" t="s">
        <v>3970</v>
      </c>
      <c r="C31" s="4807"/>
      <c r="D31" s="4807"/>
      <c r="E31" s="4807"/>
      <c r="F31" s="4807"/>
      <c r="G31" s="4160" t="s">
        <v>3984</v>
      </c>
      <c r="H31" s="4161"/>
      <c r="I31" s="4161"/>
      <c r="J31" s="4161"/>
      <c r="K31" s="4162"/>
    </row>
    <row r="32" spans="1:13" ht="56.25" customHeight="1">
      <c r="A32" s="1351"/>
      <c r="B32" s="1369" t="s">
        <v>4012</v>
      </c>
      <c r="C32" s="1370" t="s">
        <v>4008</v>
      </c>
      <c r="D32" s="1370" t="s">
        <v>4007</v>
      </c>
      <c r="E32" s="4163" t="s">
        <v>6098</v>
      </c>
      <c r="F32" s="4164"/>
      <c r="G32" s="1371" t="s">
        <v>3985</v>
      </c>
      <c r="H32" s="1371" t="s">
        <v>3986</v>
      </c>
      <c r="J32" s="1371" t="s">
        <v>3987</v>
      </c>
      <c r="K32" s="1371" t="s">
        <v>3988</v>
      </c>
      <c r="L32" s="4165" t="s">
        <v>3989</v>
      </c>
      <c r="M32" s="4165"/>
    </row>
    <row r="33" spans="2:14" ht="12.75" customHeight="1">
      <c r="B33" s="1494"/>
      <c r="C33" s="1495"/>
      <c r="D33" s="1496"/>
      <c r="E33" s="4816"/>
      <c r="F33" s="481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497"/>
      <c r="C34" s="1498"/>
      <c r="D34" s="1499"/>
      <c r="E34" s="4805"/>
      <c r="F34" s="4806"/>
      <c r="G34" s="1391" t="e">
        <f t="shared" si="0"/>
        <v>#VALUE!</v>
      </c>
      <c r="H34" s="1392" t="e">
        <f t="shared" ref="H34:H51" si="3">ROUNDUP(G34,0)</f>
        <v>#VALUE!</v>
      </c>
      <c r="I34" s="1389"/>
      <c r="J34" s="1393" t="e">
        <f t="shared" si="1"/>
        <v>#VALUE!</v>
      </c>
      <c r="K34" s="1393" t="e">
        <f t="shared" si="2"/>
        <v>#VALUE!</v>
      </c>
      <c r="L34" s="4165"/>
      <c r="M34" s="4165"/>
    </row>
    <row r="35" spans="2:14" ht="12.75" customHeight="1">
      <c r="B35" s="1497"/>
      <c r="C35" s="1498"/>
      <c r="D35" s="1499"/>
      <c r="E35" s="4805"/>
      <c r="F35" s="4806"/>
      <c r="G35" s="1391" t="e">
        <f t="shared" si="0"/>
        <v>#VALUE!</v>
      </c>
      <c r="H35" s="1392" t="e">
        <f t="shared" si="3"/>
        <v>#VALUE!</v>
      </c>
      <c r="I35" s="1389"/>
      <c r="J35" s="1393" t="e">
        <f t="shared" si="1"/>
        <v>#VALUE!</v>
      </c>
      <c r="K35" s="1393" t="e">
        <f t="shared" si="2"/>
        <v>#VALUE!</v>
      </c>
      <c r="L35" s="4165"/>
      <c r="M35" s="4165"/>
    </row>
    <row r="36" spans="2:14" ht="12.75" customHeight="1">
      <c r="B36" s="1497"/>
      <c r="C36" s="1498"/>
      <c r="D36" s="1499"/>
      <c r="E36" s="4805"/>
      <c r="F36" s="4806"/>
      <c r="G36" s="1391" t="e">
        <f t="shared" si="0"/>
        <v>#VALUE!</v>
      </c>
      <c r="H36" s="1392" t="e">
        <f t="shared" si="3"/>
        <v>#VALUE!</v>
      </c>
      <c r="I36" s="1389"/>
      <c r="J36" s="1393" t="e">
        <f t="shared" si="1"/>
        <v>#VALUE!</v>
      </c>
      <c r="K36" s="1393" t="e">
        <f t="shared" si="2"/>
        <v>#VALUE!</v>
      </c>
      <c r="L36" s="4165"/>
      <c r="M36" s="4165"/>
      <c r="N36" s="1346"/>
    </row>
    <row r="37" spans="2:14" ht="12.75" customHeight="1">
      <c r="B37" s="1497"/>
      <c r="C37" s="1498"/>
      <c r="D37" s="1499"/>
      <c r="E37" s="4805"/>
      <c r="F37" s="4806"/>
      <c r="G37" s="1391" t="e">
        <f t="shared" si="0"/>
        <v>#VALUE!</v>
      </c>
      <c r="H37" s="1392" t="e">
        <f t="shared" si="3"/>
        <v>#VALUE!</v>
      </c>
      <c r="I37" s="1389"/>
      <c r="J37" s="1393" t="e">
        <f t="shared" si="1"/>
        <v>#VALUE!</v>
      </c>
      <c r="K37" s="1393" t="e">
        <f t="shared" si="2"/>
        <v>#VALUE!</v>
      </c>
      <c r="L37" s="4165"/>
      <c r="M37" s="4165"/>
    </row>
    <row r="38" spans="2:14" ht="12.75" customHeight="1">
      <c r="B38" s="1497"/>
      <c r="C38" s="1498"/>
      <c r="D38" s="1499"/>
      <c r="E38" s="4805"/>
      <c r="F38" s="4806"/>
      <c r="G38" s="1391" t="e">
        <f t="shared" si="0"/>
        <v>#VALUE!</v>
      </c>
      <c r="H38" s="1392" t="e">
        <f t="shared" si="3"/>
        <v>#VALUE!</v>
      </c>
      <c r="I38" s="1389"/>
      <c r="J38" s="1393" t="e">
        <f t="shared" si="1"/>
        <v>#VALUE!</v>
      </c>
      <c r="K38" s="1393" t="e">
        <f t="shared" si="2"/>
        <v>#VALUE!</v>
      </c>
      <c r="L38" s="4165"/>
      <c r="M38" s="4165"/>
    </row>
    <row r="39" spans="2:14" ht="12.75" customHeight="1">
      <c r="B39" s="1497"/>
      <c r="C39" s="1498"/>
      <c r="D39" s="1499"/>
      <c r="E39" s="4805"/>
      <c r="F39" s="4806"/>
      <c r="G39" s="1391" t="e">
        <f t="shared" si="0"/>
        <v>#VALUE!</v>
      </c>
      <c r="H39" s="1392" t="e">
        <f t="shared" si="3"/>
        <v>#VALUE!</v>
      </c>
      <c r="I39" s="1389"/>
      <c r="J39" s="1393" t="e">
        <f t="shared" si="1"/>
        <v>#VALUE!</v>
      </c>
      <c r="K39" s="1393" t="e">
        <f t="shared" si="2"/>
        <v>#VALUE!</v>
      </c>
      <c r="L39" s="4165"/>
      <c r="M39" s="4165"/>
    </row>
    <row r="40" spans="2:14" ht="12.75" customHeight="1">
      <c r="B40" s="1497"/>
      <c r="C40" s="1498"/>
      <c r="D40" s="1499"/>
      <c r="E40" s="4805"/>
      <c r="F40" s="4806"/>
      <c r="G40" s="1391" t="e">
        <f t="shared" si="0"/>
        <v>#VALUE!</v>
      </c>
      <c r="H40" s="1392" t="e">
        <f t="shared" si="3"/>
        <v>#VALUE!</v>
      </c>
      <c r="I40" s="1389"/>
      <c r="J40" s="1393" t="e">
        <f t="shared" si="1"/>
        <v>#VALUE!</v>
      </c>
      <c r="K40" s="1393" t="e">
        <f t="shared" si="2"/>
        <v>#VALUE!</v>
      </c>
      <c r="L40" s="4165"/>
      <c r="M40" s="4165"/>
    </row>
    <row r="41" spans="2:14" ht="12.75" customHeight="1">
      <c r="B41" s="1497"/>
      <c r="C41" s="1498"/>
      <c r="D41" s="1499"/>
      <c r="E41" s="4805"/>
      <c r="F41" s="4806"/>
      <c r="G41" s="1391" t="e">
        <f t="shared" si="0"/>
        <v>#VALUE!</v>
      </c>
      <c r="H41" s="1392" t="e">
        <f t="shared" si="3"/>
        <v>#VALUE!</v>
      </c>
      <c r="I41" s="1389"/>
      <c r="J41" s="1393" t="e">
        <f t="shared" si="1"/>
        <v>#VALUE!</v>
      </c>
      <c r="K41" s="1393" t="e">
        <f t="shared" si="2"/>
        <v>#VALUE!</v>
      </c>
      <c r="L41" s="4165"/>
      <c r="M41" s="4165"/>
    </row>
    <row r="42" spans="2:14" ht="12.75" customHeight="1">
      <c r="B42" s="1497"/>
      <c r="C42" s="1498"/>
      <c r="D42" s="1499"/>
      <c r="E42" s="4805"/>
      <c r="F42" s="4806"/>
      <c r="G42" s="1391" t="e">
        <f t="shared" si="0"/>
        <v>#VALUE!</v>
      </c>
      <c r="H42" s="1392" t="e">
        <f>ROUNDUP(G42,0)</f>
        <v>#VALUE!</v>
      </c>
      <c r="I42" s="1389"/>
      <c r="J42" s="1393" t="e">
        <f t="shared" si="1"/>
        <v>#VALUE!</v>
      </c>
      <c r="K42" s="1393" t="e">
        <f t="shared" si="2"/>
        <v>#VALUE!</v>
      </c>
      <c r="L42" s="4165"/>
      <c r="M42" s="4165"/>
    </row>
    <row r="43" spans="2:14" ht="12.75" customHeight="1">
      <c r="B43" s="1497"/>
      <c r="C43" s="1498"/>
      <c r="D43" s="1499"/>
      <c r="E43" s="4805"/>
      <c r="F43" s="4806"/>
      <c r="G43" s="1391" t="e">
        <f t="shared" si="0"/>
        <v>#VALUE!</v>
      </c>
      <c r="H43" s="1392" t="e">
        <f>ROUNDUP(G43,0)</f>
        <v>#VALUE!</v>
      </c>
      <c r="I43" s="1389"/>
      <c r="J43" s="1393" t="e">
        <f t="shared" si="1"/>
        <v>#VALUE!</v>
      </c>
      <c r="K43" s="1393" t="e">
        <f t="shared" si="2"/>
        <v>#VALUE!</v>
      </c>
      <c r="L43" s="4165"/>
      <c r="M43" s="4165"/>
    </row>
    <row r="44" spans="2:14" ht="12.75" customHeight="1">
      <c r="B44" s="1497"/>
      <c r="C44" s="1498"/>
      <c r="D44" s="1499"/>
      <c r="E44" s="4805"/>
      <c r="F44" s="4806"/>
      <c r="G44" s="1391" t="e">
        <f t="shared" si="0"/>
        <v>#VALUE!</v>
      </c>
      <c r="H44" s="1392" t="e">
        <f>ROUNDUP(G44,0)</f>
        <v>#VALUE!</v>
      </c>
      <c r="I44" s="1389"/>
      <c r="J44" s="1393" t="e">
        <f t="shared" si="1"/>
        <v>#VALUE!</v>
      </c>
      <c r="K44" s="1393" t="e">
        <f t="shared" si="2"/>
        <v>#VALUE!</v>
      </c>
      <c r="L44" s="4165"/>
      <c r="M44" s="4165"/>
    </row>
    <row r="45" spans="2:14" ht="12.75" customHeight="1">
      <c r="B45" s="1497"/>
      <c r="C45" s="1498"/>
      <c r="D45" s="1499"/>
      <c r="E45" s="4805"/>
      <c r="F45" s="4806"/>
      <c r="G45" s="1391" t="e">
        <f t="shared" si="0"/>
        <v>#VALUE!</v>
      </c>
      <c r="H45" s="1392" t="e">
        <f>ROUNDUP(G45,0)</f>
        <v>#VALUE!</v>
      </c>
      <c r="I45" s="1389"/>
      <c r="J45" s="1393" t="e">
        <f t="shared" si="1"/>
        <v>#VALUE!</v>
      </c>
      <c r="K45" s="1393" t="e">
        <f t="shared" si="2"/>
        <v>#VALUE!</v>
      </c>
      <c r="L45" s="4165"/>
      <c r="M45" s="4165"/>
    </row>
    <row r="46" spans="2:14" ht="12.75" customHeight="1">
      <c r="B46" s="1497"/>
      <c r="C46" s="1498"/>
      <c r="D46" s="1499"/>
      <c r="E46" s="4805"/>
      <c r="F46" s="4806"/>
      <c r="G46" s="1391" t="e">
        <f t="shared" si="0"/>
        <v>#VALUE!</v>
      </c>
      <c r="H46" s="1392" t="e">
        <f t="shared" si="3"/>
        <v>#VALUE!</v>
      </c>
      <c r="I46" s="1389"/>
      <c r="J46" s="1393" t="e">
        <f t="shared" si="1"/>
        <v>#VALUE!</v>
      </c>
      <c r="K46" s="1393" t="e">
        <f t="shared" si="2"/>
        <v>#VALUE!</v>
      </c>
      <c r="L46" s="4165"/>
      <c r="M46" s="4165"/>
    </row>
    <row r="47" spans="2:14" ht="12.75" customHeight="1">
      <c r="B47" s="1497"/>
      <c r="C47" s="1498"/>
      <c r="D47" s="1499"/>
      <c r="E47" s="4805"/>
      <c r="F47" s="4806"/>
      <c r="G47" s="1391" t="e">
        <f t="shared" si="0"/>
        <v>#VALUE!</v>
      </c>
      <c r="H47" s="1392" t="e">
        <f t="shared" si="3"/>
        <v>#VALUE!</v>
      </c>
      <c r="I47" s="1389"/>
      <c r="J47" s="1393" t="e">
        <f t="shared" si="1"/>
        <v>#VALUE!</v>
      </c>
      <c r="K47" s="1393" t="e">
        <f t="shared" si="2"/>
        <v>#VALUE!</v>
      </c>
      <c r="L47" s="4165"/>
      <c r="M47" s="4165"/>
    </row>
    <row r="48" spans="2:14" ht="12.75" customHeight="1">
      <c r="B48" s="1497"/>
      <c r="C48" s="1498"/>
      <c r="D48" s="1499"/>
      <c r="E48" s="4805"/>
      <c r="F48" s="4806"/>
      <c r="G48" s="1391" t="e">
        <f t="shared" si="0"/>
        <v>#VALUE!</v>
      </c>
      <c r="H48" s="1392" t="e">
        <f>ROUNDUP(G48,0)</f>
        <v>#VALUE!</v>
      </c>
      <c r="I48" s="1389"/>
      <c r="J48" s="1393" t="e">
        <f t="shared" si="1"/>
        <v>#VALUE!</v>
      </c>
      <c r="K48" s="1393" t="e">
        <f t="shared" si="2"/>
        <v>#VALUE!</v>
      </c>
      <c r="L48" s="4165"/>
      <c r="M48" s="4165"/>
    </row>
    <row r="49" spans="1:13" ht="12.75" customHeight="1">
      <c r="B49" s="1497"/>
      <c r="C49" s="1498"/>
      <c r="D49" s="1499"/>
      <c r="E49" s="4805"/>
      <c r="F49" s="4806"/>
      <c r="G49" s="1391" t="e">
        <f t="shared" si="0"/>
        <v>#VALUE!</v>
      </c>
      <c r="H49" s="1392" t="e">
        <f t="shared" si="3"/>
        <v>#VALUE!</v>
      </c>
      <c r="I49" s="1389"/>
      <c r="J49" s="1393" t="e">
        <f t="shared" si="1"/>
        <v>#VALUE!</v>
      </c>
      <c r="K49" s="1393" t="e">
        <f t="shared" si="2"/>
        <v>#VALUE!</v>
      </c>
      <c r="L49" s="4165"/>
      <c r="M49" s="4165"/>
    </row>
    <row r="50" spans="1:13" ht="12.75" customHeight="1">
      <c r="B50" s="1497"/>
      <c r="C50" s="1498"/>
      <c r="D50" s="1499"/>
      <c r="E50" s="4805"/>
      <c r="F50" s="4806"/>
      <c r="G50" s="1391" t="e">
        <f t="shared" si="0"/>
        <v>#VALUE!</v>
      </c>
      <c r="H50" s="1392" t="e">
        <f t="shared" si="3"/>
        <v>#VALUE!</v>
      </c>
      <c r="I50" s="1389"/>
      <c r="J50" s="1393" t="e">
        <f t="shared" si="1"/>
        <v>#VALUE!</v>
      </c>
      <c r="K50" s="1393" t="e">
        <f t="shared" si="2"/>
        <v>#VALUE!</v>
      </c>
      <c r="L50" s="4165"/>
      <c r="M50" s="4165"/>
    </row>
    <row r="51" spans="1:13" ht="12.75" customHeight="1" thickBot="1">
      <c r="B51" s="1500"/>
      <c r="C51" s="1501"/>
      <c r="D51" s="1502"/>
      <c r="E51" s="4803"/>
      <c r="F51" s="4804"/>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3990</v>
      </c>
      <c r="H52" s="1372" t="e">
        <f>SUM(H33:H51)</f>
        <v>#VALUE!</v>
      </c>
      <c r="I52" s="1356"/>
      <c r="J52" s="1362" t="s">
        <v>3991</v>
      </c>
      <c r="K52" s="1358" t="e">
        <f>SUM(K33:K51)</f>
        <v>#VALUE!</v>
      </c>
      <c r="L52" s="4165"/>
      <c r="M52" s="4165"/>
    </row>
    <row r="53" spans="1:13" ht="15" customHeight="1">
      <c r="B53" s="1363"/>
      <c r="C53" s="4151" t="s">
        <v>3992</v>
      </c>
      <c r="D53" s="4151"/>
      <c r="E53" s="4151"/>
      <c r="F53" s="4151"/>
      <c r="G53" s="4151"/>
      <c r="H53" s="4151"/>
      <c r="I53" s="4151"/>
      <c r="J53" s="4152"/>
      <c r="K53" s="1364" t="str">
        <f>IF(J17="no",0,IF(J17="yes",J16,"Error"))</f>
        <v>Error</v>
      </c>
      <c r="L53" s="4165"/>
      <c r="M53" s="4165"/>
    </row>
    <row r="54" spans="1:13" ht="15" customHeight="1" thickBot="1">
      <c r="B54" s="1363"/>
      <c r="C54" s="4153" t="s">
        <v>3993</v>
      </c>
      <c r="D54" s="4153"/>
      <c r="E54" s="4153"/>
      <c r="F54" s="4153"/>
      <c r="G54" s="4153"/>
      <c r="H54" s="4153"/>
      <c r="I54" s="4153"/>
      <c r="J54" s="4154"/>
      <c r="K54" s="1375" t="e">
        <f>K52+K53</f>
        <v>#VALUE!</v>
      </c>
    </row>
    <row r="55" spans="1:13" ht="8" customHeight="1">
      <c r="A55" s="4155"/>
      <c r="B55" s="4125"/>
      <c r="C55" s="4125"/>
      <c r="D55" s="4125"/>
      <c r="E55" s="4125"/>
      <c r="F55" s="4125"/>
      <c r="G55" s="4125"/>
      <c r="H55" s="4125"/>
      <c r="I55" s="4125"/>
      <c r="J55" s="4125"/>
      <c r="K55" s="1386"/>
    </row>
    <row r="56" spans="1:13" ht="15" customHeight="1">
      <c r="A56" s="4126" t="s">
        <v>3994</v>
      </c>
      <c r="B56" s="4127"/>
      <c r="C56" s="4127"/>
      <c r="D56" s="4127"/>
      <c r="E56" s="4127"/>
      <c r="F56" s="4127"/>
      <c r="G56" s="4127"/>
      <c r="H56" s="4127"/>
      <c r="I56" s="4127"/>
      <c r="J56" s="4127"/>
      <c r="K56" s="4128"/>
    </row>
    <row r="57" spans="1:13" ht="48" customHeight="1">
      <c r="A57" s="1348"/>
      <c r="B57" s="1339"/>
      <c r="C57" s="1350" t="s">
        <v>3995</v>
      </c>
      <c r="D57" s="1483" t="s">
        <v>6063</v>
      </c>
      <c r="E57" s="4138" t="s">
        <v>4011</v>
      </c>
      <c r="F57" s="4139"/>
      <c r="G57" s="4812" t="s">
        <v>3996</v>
      </c>
      <c r="H57" s="4813"/>
      <c r="I57" s="4138" t="s">
        <v>4010</v>
      </c>
      <c r="J57" s="4139"/>
      <c r="K57" s="4142"/>
    </row>
    <row r="58" spans="1:13" ht="15" customHeight="1">
      <c r="A58" s="1465"/>
      <c r="B58" s="1381"/>
      <c r="C58" s="1359">
        <f>SUMIF(C33:C51, "0", H33:H51)</f>
        <v>0</v>
      </c>
      <c r="D58" s="1484">
        <f t="shared" ref="D58:D63" si="4">ROUNDUP(C58*1.1,0)</f>
        <v>0</v>
      </c>
      <c r="E58" s="4144" t="s">
        <v>3997</v>
      </c>
      <c r="F58" s="4145"/>
      <c r="G58" s="4814">
        <f>'DCA Underwriting Assumptions'!H129</f>
        <v>159753.60000000001</v>
      </c>
      <c r="H58" s="4815"/>
      <c r="I58" s="4146">
        <f t="shared" ref="I58:I63" si="5">D58*G58</f>
        <v>0</v>
      </c>
      <c r="J58" s="4146"/>
      <c r="K58" s="4143"/>
    </row>
    <row r="59" spans="1:13">
      <c r="A59" s="1465"/>
      <c r="B59" s="1381"/>
      <c r="C59" s="1360">
        <f>SUMIF(C33:C51, "1", H33:H51)</f>
        <v>0</v>
      </c>
      <c r="D59" s="1485">
        <f t="shared" si="4"/>
        <v>0</v>
      </c>
      <c r="E59" s="4130" t="s">
        <v>2462</v>
      </c>
      <c r="F59" s="4131"/>
      <c r="G59" s="4810">
        <f>'DCA Underwriting Assumptions'!H130</f>
        <v>183132</v>
      </c>
      <c r="H59" s="4811"/>
      <c r="I59" s="4134">
        <f t="shared" si="5"/>
        <v>0</v>
      </c>
      <c r="J59" s="4134"/>
      <c r="K59" s="4143"/>
    </row>
    <row r="60" spans="1:13" ht="15" customHeight="1">
      <c r="A60" s="1465"/>
      <c r="B60" s="1381"/>
      <c r="C60" s="1360">
        <f>SUMIF(C33:C51, "2", H33:H51)</f>
        <v>0</v>
      </c>
      <c r="D60" s="1485">
        <f t="shared" si="4"/>
        <v>0</v>
      </c>
      <c r="E60" s="4130" t="s">
        <v>2463</v>
      </c>
      <c r="F60" s="4131"/>
      <c r="G60" s="4810">
        <f>'DCA Underwriting Assumptions'!H131</f>
        <v>222693.6</v>
      </c>
      <c r="H60" s="4811"/>
      <c r="I60" s="4134">
        <f t="shared" si="5"/>
        <v>0</v>
      </c>
      <c r="J60" s="4134"/>
      <c r="K60" s="4143"/>
    </row>
    <row r="61" spans="1:13">
      <c r="A61" s="1465"/>
      <c r="B61" s="1381"/>
      <c r="C61" s="1360">
        <f>SUMIF(C33:C51, "3", H33:H51)</f>
        <v>0</v>
      </c>
      <c r="D61" s="1485">
        <f t="shared" si="4"/>
        <v>0</v>
      </c>
      <c r="E61" s="4130" t="s">
        <v>2466</v>
      </c>
      <c r="F61" s="4131"/>
      <c r="G61" s="4810">
        <f>'DCA Underwriting Assumptions'!H132</f>
        <v>288093.59999999998</v>
      </c>
      <c r="H61" s="4811"/>
      <c r="I61" s="4134">
        <f t="shared" si="5"/>
        <v>0</v>
      </c>
      <c r="J61" s="4134"/>
      <c r="K61" s="4143"/>
    </row>
    <row r="62" spans="1:13">
      <c r="A62" s="1465"/>
      <c r="B62" s="1381"/>
      <c r="C62" s="1360">
        <f>SUMIF(C33:C51, "4", H33:H51)</f>
        <v>0</v>
      </c>
      <c r="D62" s="1485">
        <f t="shared" si="4"/>
        <v>0</v>
      </c>
      <c r="E62" s="4130" t="s">
        <v>3998</v>
      </c>
      <c r="F62" s="4131"/>
      <c r="G62" s="4810">
        <f>'DCA Underwriting Assumptions'!H133</f>
        <v>316236</v>
      </c>
      <c r="H62" s="4811"/>
      <c r="I62" s="4134">
        <f t="shared" si="5"/>
        <v>0</v>
      </c>
      <c r="J62" s="4134"/>
      <c r="K62" s="4143"/>
    </row>
    <row r="63" spans="1:13">
      <c r="A63" s="1482"/>
      <c r="B63" s="1382"/>
      <c r="C63" s="1361">
        <f>SUMIF(C33:C51, "5", H33:H51)</f>
        <v>0</v>
      </c>
      <c r="D63" s="1486">
        <f t="shared" si="4"/>
        <v>0</v>
      </c>
      <c r="E63" s="4135" t="s">
        <v>3999</v>
      </c>
      <c r="F63" s="4136"/>
      <c r="G63" s="4808">
        <f>'DCA Underwriting Assumptions'!H133</f>
        <v>316236</v>
      </c>
      <c r="H63" s="4809"/>
      <c r="I63" s="4137">
        <f t="shared" si="5"/>
        <v>0</v>
      </c>
      <c r="J63" s="4137"/>
      <c r="K63" s="1384"/>
    </row>
    <row r="64" spans="1:13" ht="15" thickBot="1">
      <c r="A64" s="1481" t="s">
        <v>4000</v>
      </c>
      <c r="B64" s="1377">
        <f>SUM(C58:C63)</f>
        <v>0</v>
      </c>
      <c r="C64" s="1487"/>
      <c r="D64" s="1487">
        <f>SUM(D58:D63)</f>
        <v>0</v>
      </c>
      <c r="E64" s="1480"/>
      <c r="F64" s="1480"/>
      <c r="G64" s="1480"/>
      <c r="H64" s="1480"/>
      <c r="I64" s="1480"/>
      <c r="J64" s="1466" t="s">
        <v>4001</v>
      </c>
      <c r="K64" s="1376">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5" thickBot="1">
      <c r="A69" s="1380"/>
      <c r="B69" s="1340"/>
      <c r="C69" s="1340"/>
      <c r="D69" s="1340"/>
      <c r="E69" s="1340" t="s">
        <v>4005</v>
      </c>
      <c r="F69" s="1340"/>
      <c r="G69" s="1340"/>
      <c r="H69" s="1340"/>
      <c r="I69" s="1340"/>
      <c r="J69" s="1382"/>
      <c r="K69" s="1385">
        <f>K64</f>
        <v>0</v>
      </c>
    </row>
    <row r="70" spans="1:11" ht="15" thickBot="1">
      <c r="A70" s="1349"/>
      <c r="B70" s="1341"/>
      <c r="C70" s="4129" t="s">
        <v>4006</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432" customWidth="1"/>
    <col min="2" max="2" width="4.33203125" style="432" customWidth="1"/>
    <col min="3" max="3" width="18.5" style="432" customWidth="1"/>
    <col min="4" max="4" width="2.6640625" style="432" customWidth="1"/>
    <col min="5" max="5" width="6.5" style="432" customWidth="1"/>
    <col min="6" max="6" width="39.33203125" style="432" customWidth="1"/>
    <col min="7" max="8" width="8.5" style="432" customWidth="1"/>
    <col min="9" max="9" width="9.33203125" style="432"/>
    <col min="10" max="10" width="14.33203125" style="432" customWidth="1"/>
    <col min="11" max="16384" width="9.33203125" style="432"/>
  </cols>
  <sheetData>
    <row r="1" spans="1:11">
      <c r="A1" s="560" t="s">
        <v>2881</v>
      </c>
      <c r="H1" s="614" t="str">
        <f>'Sensitivity Analysis'!C8</f>
        <v>Fairhaven on Campbellton</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48143.347199999997</v>
      </c>
      <c r="K4" s="1008" t="s">
        <v>3663</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17270773</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4080</v>
      </c>
      <c r="B23" s="4832"/>
      <c r="C23" s="4832"/>
      <c r="D23" s="4832"/>
      <c r="E23" s="4832"/>
      <c r="F23" s="4832"/>
      <c r="G23" s="4832"/>
      <c r="H23" s="4832"/>
    </row>
    <row r="24" spans="1:8" ht="9" customHeight="1" thickBot="1">
      <c r="A24" s="611"/>
    </row>
    <row r="25" spans="1:8" ht="16.25" customHeight="1" thickBot="1">
      <c r="A25" s="4825">
        <v>20</v>
      </c>
      <c r="B25" s="4826"/>
      <c r="C25" s="1451" t="s">
        <v>975</v>
      </c>
    </row>
    <row r="26" spans="1:8" ht="9" customHeight="1">
      <c r="A26" s="611"/>
    </row>
    <row r="27" spans="1:8" ht="28.25" customHeight="1">
      <c r="A27" s="4824" t="s">
        <v>4085</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4078</v>
      </c>
      <c r="D29" s="638" t="s">
        <v>4079</v>
      </c>
    </row>
    <row r="30" spans="1:8" ht="2"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4083</v>
      </c>
      <c r="E33" s="4824" t="s">
        <v>3121</v>
      </c>
      <c r="F33" s="4824"/>
      <c r="G33" s="4824"/>
      <c r="H33" s="4824"/>
    </row>
    <row r="34" spans="1:11" ht="12.75" customHeight="1">
      <c r="C34" s="1450"/>
      <c r="D34" s="1448" t="s">
        <v>2984</v>
      </c>
      <c r="E34" s="4827" t="s">
        <v>3122</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4083</v>
      </c>
      <c r="E38" s="4824" t="s">
        <v>3121</v>
      </c>
      <c r="F38" s="4824"/>
      <c r="G38" s="4824"/>
      <c r="H38" s="4824"/>
    </row>
    <row r="39" spans="1:11" ht="12.75" customHeight="1">
      <c r="C39" s="1450"/>
      <c r="D39" s="1448" t="s">
        <v>2984</v>
      </c>
      <c r="E39" s="4827" t="s">
        <v>3122</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4083</v>
      </c>
      <c r="E43" s="4824" t="s">
        <v>3121</v>
      </c>
      <c r="F43" s="4824"/>
      <c r="G43" s="4824"/>
      <c r="H43" s="4824"/>
    </row>
    <row r="44" spans="1:11" ht="12.75" customHeight="1">
      <c r="C44" s="1450"/>
      <c r="D44" s="1448" t="s">
        <v>2984</v>
      </c>
      <c r="E44" s="4827" t="s">
        <v>3122</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4083</v>
      </c>
      <c r="E50" s="4824" t="s">
        <v>3121</v>
      </c>
      <c r="F50" s="4824"/>
      <c r="G50" s="4824"/>
      <c r="H50" s="4824"/>
    </row>
    <row r="51" spans="1:11" ht="12.75" customHeight="1">
      <c r="C51" s="1450"/>
      <c r="D51" s="642" t="s">
        <v>2984</v>
      </c>
      <c r="E51" s="4824" t="s">
        <v>3122</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4083</v>
      </c>
      <c r="E55" s="4824" t="s">
        <v>3121</v>
      </c>
      <c r="F55" s="4824"/>
      <c r="G55" s="4824"/>
      <c r="H55" s="4824"/>
    </row>
    <row r="56" spans="1:11" ht="12.75" customHeight="1">
      <c r="C56" s="1450"/>
      <c r="D56" s="1448" t="s">
        <v>2984</v>
      </c>
      <c r="E56" s="4827" t="s">
        <v>3122</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4083</v>
      </c>
      <c r="E60" s="4824" t="s">
        <v>3121</v>
      </c>
      <c r="F60" s="4824"/>
      <c r="G60" s="4824"/>
      <c r="H60" s="4824"/>
    </row>
    <row r="61" spans="1:11" ht="12.75" customHeight="1">
      <c r="C61" s="1450"/>
      <c r="D61" s="1448" t="s">
        <v>2984</v>
      </c>
      <c r="E61" s="4827" t="s">
        <v>3122</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4083</v>
      </c>
      <c r="E67" s="4824" t="s">
        <v>3121</v>
      </c>
      <c r="F67" s="4824"/>
      <c r="G67" s="4824"/>
      <c r="H67" s="4824"/>
    </row>
    <row r="68" spans="1:8" ht="12.75" customHeight="1">
      <c r="C68" s="1450"/>
      <c r="D68" s="642" t="s">
        <v>2984</v>
      </c>
      <c r="E68" s="4824" t="s">
        <v>3122</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4083</v>
      </c>
      <c r="E72" s="4824" t="s">
        <v>3121</v>
      </c>
      <c r="F72" s="4824"/>
      <c r="G72" s="4824"/>
      <c r="H72" s="4824"/>
    </row>
    <row r="73" spans="1:8" ht="12.75" customHeight="1">
      <c r="C73" s="1450"/>
      <c r="D73" s="1448" t="s">
        <v>2984</v>
      </c>
      <c r="E73" s="4827" t="s">
        <v>3122</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4083</v>
      </c>
      <c r="E77" s="4824" t="s">
        <v>3121</v>
      </c>
      <c r="F77" s="4824"/>
      <c r="G77" s="4824"/>
      <c r="H77" s="4824"/>
    </row>
    <row r="78" spans="1:8" ht="12.75" customHeight="1">
      <c r="C78" s="1450"/>
      <c r="D78" s="1448" t="s">
        <v>2984</v>
      </c>
      <c r="E78" s="4827" t="s">
        <v>3122</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4083</v>
      </c>
      <c r="E84" s="4824" t="s">
        <v>3121</v>
      </c>
      <c r="F84" s="4824"/>
      <c r="G84" s="4824"/>
      <c r="H84" s="4824"/>
    </row>
    <row r="85" spans="3:8" ht="12.75" customHeight="1">
      <c r="C85" s="1450"/>
      <c r="D85" s="642" t="s">
        <v>2984</v>
      </c>
      <c r="E85" s="4824" t="s">
        <v>3122</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4083</v>
      </c>
      <c r="E89" s="4824" t="s">
        <v>3121</v>
      </c>
      <c r="F89" s="4824"/>
      <c r="G89" s="4824"/>
      <c r="H89" s="4824"/>
    </row>
    <row r="90" spans="3:8" ht="12.75" customHeight="1">
      <c r="C90" s="1450"/>
      <c r="D90" s="1448" t="s">
        <v>2984</v>
      </c>
      <c r="E90" s="4827" t="s">
        <v>3122</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4083</v>
      </c>
      <c r="E94" s="4824" t="s">
        <v>3121</v>
      </c>
      <c r="F94" s="4824"/>
      <c r="G94" s="4824"/>
      <c r="H94" s="4824"/>
    </row>
    <row r="95" spans="3:8" ht="12.75" customHeight="1">
      <c r="C95" s="1450"/>
      <c r="D95" s="1448" t="s">
        <v>2984</v>
      </c>
      <c r="E95" s="4827" t="s">
        <v>3122</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2"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3121</v>
      </c>
      <c r="F101" s="4824"/>
      <c r="G101" s="4824"/>
      <c r="H101" s="4824"/>
    </row>
    <row r="102" spans="1:11" ht="12.75" customHeight="1">
      <c r="D102" s="642" t="s">
        <v>2984</v>
      </c>
      <c r="E102" s="4824" t="s">
        <v>3122</v>
      </c>
      <c r="F102" s="4824"/>
      <c r="G102" s="4824"/>
      <c r="H102" s="4824"/>
    </row>
    <row r="103" spans="1:11" ht="9" customHeight="1" thickBot="1"/>
    <row r="104" spans="1:11" ht="16.25" customHeight="1" thickBot="1">
      <c r="A104" s="4825">
        <v>30</v>
      </c>
      <c r="B104" s="4826"/>
      <c r="C104" s="1451" t="s">
        <v>975</v>
      </c>
    </row>
    <row r="105" spans="1:11" ht="9" customHeight="1">
      <c r="A105" s="611"/>
    </row>
    <row r="106" spans="1:11" ht="28.25" customHeight="1">
      <c r="A106" s="4824" t="s">
        <v>4086</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4078</v>
      </c>
      <c r="D108" s="638" t="s">
        <v>4079</v>
      </c>
    </row>
    <row r="109" spans="1:11" ht="2"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4083</v>
      </c>
      <c r="E112" s="4824" t="s">
        <v>3121</v>
      </c>
      <c r="F112" s="4824"/>
      <c r="G112" s="4824"/>
      <c r="H112" s="4824"/>
    </row>
    <row r="113" spans="1:8" ht="12.75" customHeight="1">
      <c r="C113" s="1450"/>
      <c r="D113" s="1448" t="s">
        <v>2984</v>
      </c>
      <c r="E113" s="4827" t="s">
        <v>3122</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4083</v>
      </c>
      <c r="E117" s="4824" t="s">
        <v>3121</v>
      </c>
      <c r="F117" s="4824"/>
      <c r="G117" s="4824"/>
      <c r="H117" s="4824"/>
    </row>
    <row r="118" spans="1:8" ht="12.75" customHeight="1">
      <c r="C118" s="1450"/>
      <c r="D118" s="1448" t="s">
        <v>2984</v>
      </c>
      <c r="E118" s="4827" t="s">
        <v>3122</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4083</v>
      </c>
      <c r="E122" s="4824" t="s">
        <v>3121</v>
      </c>
      <c r="F122" s="4824"/>
      <c r="G122" s="4824"/>
      <c r="H122" s="4824"/>
    </row>
    <row r="123" spans="1:8" ht="12.75" customHeight="1">
      <c r="C123" s="1450"/>
      <c r="D123" s="1448" t="s">
        <v>2984</v>
      </c>
      <c r="E123" s="4827" t="s">
        <v>3122</v>
      </c>
      <c r="F123" s="4827"/>
      <c r="G123" s="4827"/>
      <c r="H123" s="4827"/>
    </row>
    <row r="124" spans="1:8" ht="6" customHeight="1">
      <c r="D124" s="639"/>
      <c r="E124" s="1025"/>
      <c r="F124" s="1025"/>
      <c r="G124" s="1025"/>
      <c r="H124" s="1025"/>
    </row>
    <row r="125" spans="1:8">
      <c r="A125" s="620" t="s">
        <v>2980</v>
      </c>
      <c r="B125" s="637">
        <f>IF('Part V-Revenues &amp; Expenses'!$L$61=0,"",'Part V-Revenues &amp; Expenses'!$L$61)</f>
        <v>1</v>
      </c>
      <c r="C125" s="620" t="s">
        <v>2981</v>
      </c>
      <c r="D125" s="638" t="s">
        <v>3123</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4083</v>
      </c>
      <c r="E129" s="4824" t="s">
        <v>3121</v>
      </c>
      <c r="F129" s="4824"/>
      <c r="G129" s="4824"/>
      <c r="H129" s="4824"/>
    </row>
    <row r="130" spans="1:8" ht="12.75" customHeight="1">
      <c r="C130" s="1450"/>
      <c r="D130" s="642" t="s">
        <v>2984</v>
      </c>
      <c r="E130" s="4824" t="s">
        <v>3122</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4083</v>
      </c>
      <c r="E134" s="4824" t="s">
        <v>3121</v>
      </c>
      <c r="F134" s="4824"/>
      <c r="G134" s="4824"/>
      <c r="H134" s="4824"/>
    </row>
    <row r="135" spans="1:8" ht="12.75" customHeight="1">
      <c r="C135" s="1450"/>
      <c r="D135" s="1448" t="s">
        <v>2984</v>
      </c>
      <c r="E135" s="4827" t="s">
        <v>3122</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4083</v>
      </c>
      <c r="E139" s="4824" t="s">
        <v>3121</v>
      </c>
      <c r="F139" s="4824"/>
      <c r="G139" s="4824"/>
      <c r="H139" s="4824"/>
    </row>
    <row r="140" spans="1:8" ht="12.75" customHeight="1">
      <c r="C140" s="1450"/>
      <c r="D140" s="1448" t="s">
        <v>2984</v>
      </c>
      <c r="E140" s="4827" t="s">
        <v>3122</v>
      </c>
      <c r="F140" s="4827"/>
      <c r="G140" s="4827"/>
      <c r="H140" s="4827"/>
    </row>
    <row r="141" spans="1:8" ht="6" customHeight="1">
      <c r="D141" s="639"/>
      <c r="E141" s="1025"/>
      <c r="F141" s="1025"/>
      <c r="G141" s="1025"/>
      <c r="H141" s="1025"/>
    </row>
    <row r="142" spans="1:8">
      <c r="A142" s="620" t="s">
        <v>2980</v>
      </c>
      <c r="B142" s="637">
        <f>IF('Part V-Revenues &amp; Expenses'!$M$61=0,"",'Part V-Revenues &amp; Expenses'!$M$61)</f>
        <v>1</v>
      </c>
      <c r="C142" s="620" t="s">
        <v>2982</v>
      </c>
      <c r="D142" s="638" t="s">
        <v>3124</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4083</v>
      </c>
      <c r="E146" s="4824" t="s">
        <v>3121</v>
      </c>
      <c r="F146" s="4824"/>
      <c r="G146" s="4824"/>
      <c r="H146" s="4824"/>
    </row>
    <row r="147" spans="1:8" ht="12.75" customHeight="1">
      <c r="C147" s="1450"/>
      <c r="D147" s="642" t="s">
        <v>2984</v>
      </c>
      <c r="E147" s="4824" t="s">
        <v>3122</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4083</v>
      </c>
      <c r="E151" s="4824" t="s">
        <v>3121</v>
      </c>
      <c r="F151" s="4824"/>
      <c r="G151" s="4824"/>
      <c r="H151" s="4824"/>
    </row>
    <row r="152" spans="1:8" ht="12.75" customHeight="1">
      <c r="C152" s="1450"/>
      <c r="D152" s="1448" t="s">
        <v>2984</v>
      </c>
      <c r="E152" s="4827" t="s">
        <v>3122</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4083</v>
      </c>
      <c r="E156" s="4824" t="s">
        <v>3121</v>
      </c>
      <c r="F156" s="4824"/>
      <c r="G156" s="4824"/>
      <c r="H156" s="4824"/>
    </row>
    <row r="157" spans="1:8" ht="12.75" customHeight="1">
      <c r="C157" s="1450"/>
      <c r="D157" s="1448" t="s">
        <v>2984</v>
      </c>
      <c r="E157" s="4827" t="s">
        <v>3122</v>
      </c>
      <c r="F157" s="4827"/>
      <c r="G157" s="4827"/>
      <c r="H157" s="4827"/>
    </row>
    <row r="158" spans="1:8" ht="6" customHeight="1">
      <c r="D158" s="639"/>
      <c r="E158" s="1025"/>
      <c r="F158" s="1025"/>
      <c r="G158" s="1025"/>
      <c r="H158" s="1025"/>
    </row>
    <row r="159" spans="1:8">
      <c r="A159" s="620" t="s">
        <v>2980</v>
      </c>
      <c r="B159" s="637">
        <f>IF('Part V-Revenues &amp; Expenses'!$N$61=0,"",'Part V-Revenues &amp; Expenses'!$N$61)</f>
        <v>1</v>
      </c>
      <c r="C159" s="620" t="s">
        <v>2983</v>
      </c>
      <c r="D159" s="638" t="s">
        <v>3125</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4083</v>
      </c>
      <c r="E163" s="4824" t="s">
        <v>3121</v>
      </c>
      <c r="F163" s="4824"/>
      <c r="G163" s="4824"/>
      <c r="H163" s="4824"/>
    </row>
    <row r="164" spans="1:8" ht="12.75" customHeight="1">
      <c r="C164" s="1450"/>
      <c r="D164" s="642" t="s">
        <v>2984</v>
      </c>
      <c r="E164" s="4824" t="s">
        <v>3122</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4083</v>
      </c>
      <c r="E168" s="4824" t="s">
        <v>3121</v>
      </c>
      <c r="F168" s="4824"/>
      <c r="G168" s="4824"/>
      <c r="H168" s="4824"/>
    </row>
    <row r="169" spans="1:8" ht="12.75" customHeight="1">
      <c r="C169" s="1450"/>
      <c r="D169" s="1448" t="s">
        <v>2984</v>
      </c>
      <c r="E169" s="4827" t="s">
        <v>3122</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4083</v>
      </c>
      <c r="E173" s="4824" t="s">
        <v>3121</v>
      </c>
      <c r="F173" s="4824"/>
      <c r="G173" s="4824"/>
      <c r="H173" s="4824"/>
    </row>
    <row r="174" spans="1:8" ht="12.75" customHeight="1">
      <c r="C174" s="1450"/>
      <c r="D174" s="1448" t="s">
        <v>2984</v>
      </c>
      <c r="E174" s="4827" t="s">
        <v>3122</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2"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3121</v>
      </c>
      <c r="F180" s="4824"/>
      <c r="G180" s="4824"/>
      <c r="H180" s="4824"/>
    </row>
    <row r="181" spans="1:11" ht="12.75" customHeight="1">
      <c r="D181" s="642" t="s">
        <v>2984</v>
      </c>
      <c r="E181" s="4824" t="s">
        <v>3122</v>
      </c>
      <c r="F181" s="4824"/>
      <c r="G181" s="4824"/>
      <c r="H181" s="4824"/>
    </row>
    <row r="182" spans="1:11" ht="9" customHeight="1" thickBot="1"/>
    <row r="183" spans="1:11" ht="16.25" customHeight="1" thickBot="1">
      <c r="A183" s="4825">
        <v>40</v>
      </c>
      <c r="B183" s="4826"/>
      <c r="C183" s="1451" t="s">
        <v>975</v>
      </c>
    </row>
    <row r="184" spans="1:11" ht="9" customHeight="1">
      <c r="A184" s="611"/>
    </row>
    <row r="185" spans="1:11" ht="28.25" customHeight="1">
      <c r="A185" s="4824" t="s">
        <v>4087</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4078</v>
      </c>
      <c r="D187" s="638" t="s">
        <v>4079</v>
      </c>
    </row>
    <row r="188" spans="1:11" ht="2"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4083</v>
      </c>
      <c r="E191" s="4824" t="s">
        <v>3121</v>
      </c>
      <c r="F191" s="4824"/>
      <c r="G191" s="4824"/>
      <c r="H191" s="4824"/>
    </row>
    <row r="192" spans="1:11" ht="12.75" customHeight="1">
      <c r="C192" s="1450"/>
      <c r="D192" s="1448" t="s">
        <v>2984</v>
      </c>
      <c r="E192" s="4827" t="s">
        <v>3122</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4083</v>
      </c>
      <c r="E196" s="4824" t="s">
        <v>3121</v>
      </c>
      <c r="F196" s="4824"/>
      <c r="G196" s="4824"/>
      <c r="H196" s="4824"/>
    </row>
    <row r="197" spans="1:8" ht="12.75" customHeight="1">
      <c r="C197" s="1450"/>
      <c r="D197" s="1448" t="s">
        <v>2984</v>
      </c>
      <c r="E197" s="4827" t="s">
        <v>3122</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4083</v>
      </c>
      <c r="E201" s="4824" t="s">
        <v>3121</v>
      </c>
      <c r="F201" s="4824"/>
      <c r="G201" s="4824"/>
      <c r="H201" s="4824"/>
    </row>
    <row r="202" spans="1:8" ht="12.75" customHeight="1">
      <c r="C202" s="1450"/>
      <c r="D202" s="1448" t="s">
        <v>2984</v>
      </c>
      <c r="E202" s="4827" t="s">
        <v>3122</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4083</v>
      </c>
      <c r="E208" s="4824" t="s">
        <v>3121</v>
      </c>
      <c r="F208" s="4824"/>
      <c r="G208" s="4824"/>
      <c r="H208" s="4824"/>
    </row>
    <row r="209" spans="1:8" ht="12.75" customHeight="1">
      <c r="C209" s="1450"/>
      <c r="D209" s="642" t="s">
        <v>2984</v>
      </c>
      <c r="E209" s="4824" t="s">
        <v>3122</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4083</v>
      </c>
      <c r="E213" s="4824" t="s">
        <v>3121</v>
      </c>
      <c r="F213" s="4824"/>
      <c r="G213" s="4824"/>
      <c r="H213" s="4824"/>
    </row>
    <row r="214" spans="1:8" ht="12.75" customHeight="1">
      <c r="C214" s="1450"/>
      <c r="D214" s="1448" t="s">
        <v>2984</v>
      </c>
      <c r="E214" s="4827" t="s">
        <v>3122</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4083</v>
      </c>
      <c r="E218" s="4824" t="s">
        <v>3121</v>
      </c>
      <c r="F218" s="4824"/>
      <c r="G218" s="4824"/>
      <c r="H218" s="4824"/>
    </row>
    <row r="219" spans="1:8" ht="12.75" customHeight="1">
      <c r="C219" s="1450"/>
      <c r="D219" s="1448" t="s">
        <v>2984</v>
      </c>
      <c r="E219" s="4827" t="s">
        <v>3122</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4083</v>
      </c>
      <c r="E225" s="4824" t="s">
        <v>3121</v>
      </c>
      <c r="F225" s="4824"/>
      <c r="G225" s="4824"/>
      <c r="H225" s="4824"/>
    </row>
    <row r="226" spans="1:8" ht="12.75" customHeight="1">
      <c r="C226" s="1450"/>
      <c r="D226" s="642" t="s">
        <v>2984</v>
      </c>
      <c r="E226" s="4824" t="s">
        <v>3122</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4083</v>
      </c>
      <c r="E230" s="4824" t="s">
        <v>3121</v>
      </c>
      <c r="F230" s="4824"/>
      <c r="G230" s="4824"/>
      <c r="H230" s="4824"/>
    </row>
    <row r="231" spans="1:8" ht="12.75" customHeight="1">
      <c r="C231" s="1450"/>
      <c r="D231" s="1448" t="s">
        <v>2984</v>
      </c>
      <c r="E231" s="4827" t="s">
        <v>3122</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4083</v>
      </c>
      <c r="E235" s="4824" t="s">
        <v>3121</v>
      </c>
      <c r="F235" s="4824"/>
      <c r="G235" s="4824"/>
      <c r="H235" s="4824"/>
    </row>
    <row r="236" spans="1:8" ht="12.75" customHeight="1">
      <c r="C236" s="1450"/>
      <c r="D236" s="1448" t="s">
        <v>2984</v>
      </c>
      <c r="E236" s="4827" t="s">
        <v>3122</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4083</v>
      </c>
      <c r="E242" s="4824" t="s">
        <v>3121</v>
      </c>
      <c r="F242" s="4824"/>
      <c r="G242" s="4824"/>
      <c r="H242" s="4824"/>
    </row>
    <row r="243" spans="1:8" ht="12.75" customHeight="1">
      <c r="C243" s="1450"/>
      <c r="D243" s="642" t="s">
        <v>2984</v>
      </c>
      <c r="E243" s="4824" t="s">
        <v>3122</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4083</v>
      </c>
      <c r="E247" s="4824" t="s">
        <v>3121</v>
      </c>
      <c r="F247" s="4824"/>
      <c r="G247" s="4824"/>
      <c r="H247" s="4824"/>
    </row>
    <row r="248" spans="1:8" ht="12.75" customHeight="1">
      <c r="C248" s="1450"/>
      <c r="D248" s="1448" t="s">
        <v>2984</v>
      </c>
      <c r="E248" s="4827" t="s">
        <v>3122</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4083</v>
      </c>
      <c r="E252" s="4824" t="s">
        <v>3121</v>
      </c>
      <c r="F252" s="4824"/>
      <c r="G252" s="4824"/>
      <c r="H252" s="4824"/>
    </row>
    <row r="253" spans="1:8" ht="12.75" customHeight="1">
      <c r="C253" s="1450"/>
      <c r="D253" s="1448" t="s">
        <v>2984</v>
      </c>
      <c r="E253" s="4827" t="s">
        <v>3122</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2"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3121</v>
      </c>
      <c r="F259" s="4824"/>
      <c r="G259" s="4824"/>
      <c r="H259" s="4824"/>
    </row>
    <row r="260" spans="1:11" ht="12.75" customHeight="1">
      <c r="D260" s="642" t="s">
        <v>2984</v>
      </c>
      <c r="E260" s="4824" t="s">
        <v>3122</v>
      </c>
      <c r="F260" s="4824"/>
      <c r="G260" s="4824"/>
      <c r="H260" s="4824"/>
    </row>
    <row r="261" spans="1:11" ht="9" customHeight="1" thickBot="1"/>
    <row r="262" spans="1:11" ht="16.25" customHeight="1" thickBot="1">
      <c r="A262" s="4825">
        <v>50</v>
      </c>
      <c r="B262" s="4826"/>
      <c r="C262" s="1451" t="s">
        <v>975</v>
      </c>
    </row>
    <row r="263" spans="1:11" ht="9" customHeight="1">
      <c r="A263" s="611"/>
    </row>
    <row r="264" spans="1:11" ht="28.25" customHeight="1">
      <c r="A264" s="4824" t="s">
        <v>4084</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4078</v>
      </c>
      <c r="D266" s="638" t="s">
        <v>4079</v>
      </c>
    </row>
    <row r="267" spans="1:11" ht="2"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4083</v>
      </c>
      <c r="E270" s="4824" t="s">
        <v>3121</v>
      </c>
      <c r="F270" s="4824"/>
      <c r="G270" s="4824"/>
      <c r="H270" s="4824"/>
    </row>
    <row r="271" spans="1:11" ht="12.75" customHeight="1">
      <c r="C271" s="1450"/>
      <c r="D271" s="1448" t="s">
        <v>2984</v>
      </c>
      <c r="E271" s="4827" t="s">
        <v>3122</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4083</v>
      </c>
      <c r="E275" s="4824" t="s">
        <v>3121</v>
      </c>
      <c r="F275" s="4824"/>
      <c r="G275" s="4824"/>
      <c r="H275" s="4824"/>
    </row>
    <row r="276" spans="1:8" ht="12.75" customHeight="1">
      <c r="C276" s="1450"/>
      <c r="D276" s="1448" t="s">
        <v>2984</v>
      </c>
      <c r="E276" s="4827" t="s">
        <v>3122</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4083</v>
      </c>
      <c r="E280" s="4824" t="s">
        <v>3121</v>
      </c>
      <c r="F280" s="4824"/>
      <c r="G280" s="4824"/>
      <c r="H280" s="4824"/>
    </row>
    <row r="281" spans="1:8" ht="12.75" customHeight="1">
      <c r="C281" s="1450"/>
      <c r="D281" s="1448" t="s">
        <v>2984</v>
      </c>
      <c r="E281" s="4827" t="s">
        <v>3122</v>
      </c>
      <c r="F281" s="4827"/>
      <c r="G281" s="4827"/>
      <c r="H281" s="4827"/>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4083</v>
      </c>
      <c r="E287" s="4824" t="s">
        <v>3121</v>
      </c>
      <c r="F287" s="4824"/>
      <c r="G287" s="4824"/>
      <c r="H287" s="4824"/>
    </row>
    <row r="288" spans="1:8" ht="12.75" customHeight="1">
      <c r="C288" s="1450"/>
      <c r="D288" s="642" t="s">
        <v>2984</v>
      </c>
      <c r="E288" s="4824" t="s">
        <v>3122</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4083</v>
      </c>
      <c r="E292" s="4824" t="s">
        <v>3121</v>
      </c>
      <c r="F292" s="4824"/>
      <c r="G292" s="4824"/>
      <c r="H292" s="4824"/>
    </row>
    <row r="293" spans="1:8" ht="12.75" customHeight="1">
      <c r="C293" s="1450"/>
      <c r="D293" s="1448" t="s">
        <v>2984</v>
      </c>
      <c r="E293" s="4827" t="s">
        <v>3122</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4083</v>
      </c>
      <c r="E297" s="4824" t="s">
        <v>3121</v>
      </c>
      <c r="F297" s="4824"/>
      <c r="G297" s="4824"/>
      <c r="H297" s="4824"/>
    </row>
    <row r="298" spans="1:8" ht="12.75" customHeight="1">
      <c r="C298" s="1450"/>
      <c r="D298" s="1448" t="s">
        <v>2984</v>
      </c>
      <c r="E298" s="4827" t="s">
        <v>3122</v>
      </c>
      <c r="F298" s="4827"/>
      <c r="G298" s="4827"/>
      <c r="H298" s="4827"/>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4083</v>
      </c>
      <c r="E304" s="4824" t="s">
        <v>3121</v>
      </c>
      <c r="F304" s="4824"/>
      <c r="G304" s="4824"/>
      <c r="H304" s="4824"/>
    </row>
    <row r="305" spans="1:8" ht="12.75" customHeight="1">
      <c r="C305" s="1450"/>
      <c r="D305" s="642" t="s">
        <v>2984</v>
      </c>
      <c r="E305" s="4824" t="s">
        <v>3122</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4083</v>
      </c>
      <c r="E309" s="4824" t="s">
        <v>3121</v>
      </c>
      <c r="F309" s="4824"/>
      <c r="G309" s="4824"/>
      <c r="H309" s="4824"/>
    </row>
    <row r="310" spans="1:8" ht="12.75" customHeight="1">
      <c r="C310" s="1450"/>
      <c r="D310" s="1448" t="s">
        <v>2984</v>
      </c>
      <c r="E310" s="4827" t="s">
        <v>3122</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4083</v>
      </c>
      <c r="E314" s="4824" t="s">
        <v>3121</v>
      </c>
      <c r="F314" s="4824"/>
      <c r="G314" s="4824"/>
      <c r="H314" s="4824"/>
    </row>
    <row r="315" spans="1:8" ht="12.75" customHeight="1">
      <c r="C315" s="1450"/>
      <c r="D315" s="1448" t="s">
        <v>2984</v>
      </c>
      <c r="E315" s="4827" t="s">
        <v>3122</v>
      </c>
      <c r="F315" s="4827"/>
      <c r="G315" s="4827"/>
      <c r="H315" s="4827"/>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4083</v>
      </c>
      <c r="E321" s="4824" t="s">
        <v>3121</v>
      </c>
      <c r="F321" s="4824"/>
      <c r="G321" s="4824"/>
      <c r="H321" s="4824"/>
    </row>
    <row r="322" spans="1:11" ht="12.75" customHeight="1">
      <c r="C322" s="1450"/>
      <c r="D322" s="642" t="s">
        <v>2984</v>
      </c>
      <c r="E322" s="4824" t="s">
        <v>3122</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4083</v>
      </c>
      <c r="E326" s="4824" t="s">
        <v>3121</v>
      </c>
      <c r="F326" s="4824"/>
      <c r="G326" s="4824"/>
      <c r="H326" s="4824"/>
    </row>
    <row r="327" spans="1:11" ht="12.75" customHeight="1">
      <c r="C327" s="1450"/>
      <c r="D327" s="1448" t="s">
        <v>2984</v>
      </c>
      <c r="E327" s="4827" t="s">
        <v>3122</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4083</v>
      </c>
      <c r="E331" s="4824" t="s">
        <v>3121</v>
      </c>
      <c r="F331" s="4824"/>
      <c r="G331" s="4824"/>
      <c r="H331" s="4824"/>
    </row>
    <row r="332" spans="1:11" ht="12.75" customHeight="1">
      <c r="C332" s="1450"/>
      <c r="D332" s="1448" t="s">
        <v>2984</v>
      </c>
      <c r="E332" s="4827" t="s">
        <v>3122</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2"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3121</v>
      </c>
      <c r="F338" s="4824"/>
      <c r="G338" s="4824"/>
      <c r="H338" s="4824"/>
    </row>
    <row r="339" spans="1:8" ht="12.75" customHeight="1">
      <c r="D339" s="642" t="s">
        <v>2984</v>
      </c>
      <c r="E339" s="4824" t="s">
        <v>3122</v>
      </c>
      <c r="F339" s="4824"/>
      <c r="G339" s="4824"/>
      <c r="H339" s="4824"/>
    </row>
    <row r="340" spans="1:8" ht="9" customHeight="1"/>
    <row r="341" spans="1:8" ht="7.5" customHeight="1" thickBot="1">
      <c r="E341" s="4824"/>
      <c r="F341" s="4824"/>
      <c r="G341" s="4824"/>
      <c r="H341" s="4824"/>
    </row>
    <row r="342" spans="1:8" ht="16.25" customHeight="1" thickBot="1">
      <c r="A342" s="4825">
        <v>60</v>
      </c>
      <c r="B342" s="4826"/>
      <c r="C342" s="1451" t="s">
        <v>975</v>
      </c>
    </row>
    <row r="343" spans="1:8" ht="9" customHeight="1">
      <c r="A343" s="611"/>
    </row>
    <row r="344" spans="1:8" ht="28.25" customHeight="1">
      <c r="A344" s="4824" t="s">
        <v>4088</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4078</v>
      </c>
      <c r="D346" s="638" t="s">
        <v>4079</v>
      </c>
    </row>
    <row r="347" spans="1:8" ht="2"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4083</v>
      </c>
      <c r="E350" s="4824" t="s">
        <v>3121</v>
      </c>
      <c r="F350" s="4824"/>
      <c r="G350" s="4824"/>
      <c r="H350" s="4824"/>
    </row>
    <row r="351" spans="1:8" ht="12.75" customHeight="1">
      <c r="C351" s="1450"/>
      <c r="D351" s="1448" t="s">
        <v>2984</v>
      </c>
      <c r="E351" s="4827" t="s">
        <v>3122</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4083</v>
      </c>
      <c r="E355" s="4824" t="s">
        <v>3121</v>
      </c>
      <c r="F355" s="4824"/>
      <c r="G355" s="4824"/>
      <c r="H355" s="4824"/>
    </row>
    <row r="356" spans="1:8" ht="12.75" customHeight="1">
      <c r="C356" s="1450"/>
      <c r="D356" s="1448" t="s">
        <v>2984</v>
      </c>
      <c r="E356" s="4827" t="s">
        <v>3122</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4083</v>
      </c>
      <c r="E360" s="4824" t="s">
        <v>3121</v>
      </c>
      <c r="F360" s="4824"/>
      <c r="G360" s="4824"/>
      <c r="H360" s="4824"/>
    </row>
    <row r="361" spans="1:8" ht="12.75" customHeight="1">
      <c r="C361" s="1450"/>
      <c r="D361" s="1448" t="s">
        <v>2984</v>
      </c>
      <c r="E361" s="4827" t="s">
        <v>3122</v>
      </c>
      <c r="F361" s="4827"/>
      <c r="G361" s="4827"/>
      <c r="H361" s="4827"/>
    </row>
    <row r="362" spans="1:8" ht="6" customHeight="1">
      <c r="D362" s="639"/>
      <c r="E362" s="1025"/>
      <c r="F362" s="1025"/>
      <c r="G362" s="1025"/>
      <c r="H362" s="1025"/>
    </row>
    <row r="363" spans="1:8">
      <c r="A363" s="620" t="s">
        <v>2980</v>
      </c>
      <c r="B363" s="637">
        <f>IF('Part V-Revenues &amp; Expenses'!$L$58=0,"",'Part V-Revenues &amp; Expenses'!$L$58)</f>
        <v>10</v>
      </c>
      <c r="C363" s="620" t="s">
        <v>2981</v>
      </c>
      <c r="D363" s="638" t="s">
        <v>3123</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4083</v>
      </c>
      <c r="E367" s="4824" t="s">
        <v>3121</v>
      </c>
      <c r="F367" s="4824"/>
      <c r="G367" s="4824"/>
      <c r="H367" s="4824"/>
    </row>
    <row r="368" spans="1:8" ht="12.75" customHeight="1">
      <c r="C368" s="1450"/>
      <c r="D368" s="642" t="s">
        <v>2984</v>
      </c>
      <c r="E368" s="4824" t="s">
        <v>3122</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4083</v>
      </c>
      <c r="E372" s="4824" t="s">
        <v>3121</v>
      </c>
      <c r="F372" s="4824"/>
      <c r="G372" s="4824"/>
      <c r="H372" s="4824"/>
    </row>
    <row r="373" spans="1:8" ht="12.75" customHeight="1">
      <c r="C373" s="1450"/>
      <c r="D373" s="1448" t="s">
        <v>2984</v>
      </c>
      <c r="E373" s="4827" t="s">
        <v>3122</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4083</v>
      </c>
      <c r="E377" s="4824" t="s">
        <v>3121</v>
      </c>
      <c r="F377" s="4824"/>
      <c r="G377" s="4824"/>
      <c r="H377" s="4824"/>
    </row>
    <row r="378" spans="1:8" ht="12.75" customHeight="1">
      <c r="C378" s="1450"/>
      <c r="D378" s="1448" t="s">
        <v>2984</v>
      </c>
      <c r="E378" s="4827" t="s">
        <v>3122</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17</v>
      </c>
      <c r="C380" s="620" t="s">
        <v>2982</v>
      </c>
      <c r="D380" s="638" t="s">
        <v>3124</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4083</v>
      </c>
      <c r="E384" s="4824" t="s">
        <v>3121</v>
      </c>
      <c r="F384" s="4824"/>
      <c r="G384" s="4824"/>
      <c r="H384" s="4824"/>
    </row>
    <row r="385" spans="1:8" ht="12.75" customHeight="1">
      <c r="C385" s="1450"/>
      <c r="D385" s="642" t="s">
        <v>2984</v>
      </c>
      <c r="E385" s="4824" t="s">
        <v>3122</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4083</v>
      </c>
      <c r="E389" s="4824" t="s">
        <v>3121</v>
      </c>
      <c r="F389" s="4824"/>
      <c r="G389" s="4824"/>
      <c r="H389" s="4824"/>
    </row>
    <row r="390" spans="1:8" ht="12.75" customHeight="1">
      <c r="C390" s="1450"/>
      <c r="D390" s="1448" t="s">
        <v>2984</v>
      </c>
      <c r="E390" s="4827" t="s">
        <v>3122</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4083</v>
      </c>
      <c r="E394" s="4824" t="s">
        <v>3121</v>
      </c>
      <c r="F394" s="4824"/>
      <c r="G394" s="4824"/>
      <c r="H394" s="4824"/>
    </row>
    <row r="395" spans="1:8" ht="12.75" customHeight="1">
      <c r="C395" s="1450"/>
      <c r="D395" s="1448" t="s">
        <v>2984</v>
      </c>
      <c r="E395" s="4827" t="s">
        <v>3122</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7</v>
      </c>
      <c r="C397" s="620" t="s">
        <v>2983</v>
      </c>
      <c r="D397" s="638" t="s">
        <v>3125</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4083</v>
      </c>
      <c r="E401" s="4824" t="s">
        <v>3121</v>
      </c>
      <c r="F401" s="4824"/>
      <c r="G401" s="4824"/>
      <c r="H401" s="4824"/>
    </row>
    <row r="402" spans="1:11" ht="12.75" customHeight="1">
      <c r="C402" s="1450"/>
      <c r="D402" s="642" t="s">
        <v>2984</v>
      </c>
      <c r="E402" s="4824" t="s">
        <v>3122</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4083</v>
      </c>
      <c r="E406" s="4824" t="s">
        <v>3121</v>
      </c>
      <c r="F406" s="4824"/>
      <c r="G406" s="4824"/>
      <c r="H406" s="4824"/>
    </row>
    <row r="407" spans="1:11" ht="12.75" customHeight="1">
      <c r="C407" s="1450"/>
      <c r="D407" s="1448" t="s">
        <v>2984</v>
      </c>
      <c r="E407" s="4827" t="s">
        <v>3122</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4083</v>
      </c>
      <c r="E411" s="4824" t="s">
        <v>3121</v>
      </c>
      <c r="F411" s="4824"/>
      <c r="G411" s="4824"/>
      <c r="H411" s="4824"/>
    </row>
    <row r="412" spans="1:11" ht="12.75" customHeight="1">
      <c r="C412" s="1450"/>
      <c r="D412" s="1448" t="s">
        <v>2984</v>
      </c>
      <c r="E412" s="4827" t="s">
        <v>3122</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2"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3121</v>
      </c>
      <c r="F418" s="4824"/>
      <c r="G418" s="4824"/>
      <c r="H418" s="4824"/>
    </row>
    <row r="419" spans="1:8" ht="12.75" customHeight="1">
      <c r="D419" s="642" t="s">
        <v>2984</v>
      </c>
      <c r="E419" s="4824" t="s">
        <v>3122</v>
      </c>
      <c r="F419" s="4824"/>
      <c r="G419" s="4824"/>
      <c r="H419" s="4824"/>
    </row>
    <row r="420" spans="1:8" ht="9" customHeight="1" thickBot="1"/>
    <row r="421" spans="1:8" ht="16.25" customHeight="1" thickBot="1">
      <c r="A421" s="4825">
        <v>70</v>
      </c>
      <c r="B421" s="4826"/>
      <c r="C421" s="1451" t="s">
        <v>975</v>
      </c>
    </row>
    <row r="422" spans="1:8" ht="9" customHeight="1">
      <c r="A422" s="611"/>
    </row>
    <row r="423" spans="1:8" ht="28.25" customHeight="1">
      <c r="A423" s="4824" t="s">
        <v>4089</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4078</v>
      </c>
      <c r="D425" s="638" t="s">
        <v>4079</v>
      </c>
    </row>
    <row r="426" spans="1:8" ht="2"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4083</v>
      </c>
      <c r="E429" s="4824" t="s">
        <v>3121</v>
      </c>
      <c r="F429" s="4824"/>
      <c r="G429" s="4824"/>
      <c r="H429" s="4824"/>
    </row>
    <row r="430" spans="1:8" ht="12.75" customHeight="1">
      <c r="C430" s="1450"/>
      <c r="D430" s="1448" t="s">
        <v>2984</v>
      </c>
      <c r="E430" s="4827" t="s">
        <v>3122</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4083</v>
      </c>
      <c r="E434" s="4824" t="s">
        <v>3121</v>
      </c>
      <c r="F434" s="4824"/>
      <c r="G434" s="4824"/>
      <c r="H434" s="4824"/>
    </row>
    <row r="435" spans="1:8" ht="12.75" customHeight="1">
      <c r="C435" s="1450"/>
      <c r="D435" s="1448" t="s">
        <v>2984</v>
      </c>
      <c r="E435" s="4827" t="s">
        <v>3122</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4083</v>
      </c>
      <c r="E439" s="4824" t="s">
        <v>3121</v>
      </c>
      <c r="F439" s="4824"/>
      <c r="G439" s="4824"/>
      <c r="H439" s="4824"/>
    </row>
    <row r="440" spans="1:8" ht="12.75" customHeight="1">
      <c r="C440" s="1450"/>
      <c r="D440" s="1448" t="s">
        <v>2984</v>
      </c>
      <c r="E440" s="4827" t="s">
        <v>3122</v>
      </c>
      <c r="F440" s="4827"/>
      <c r="G440" s="4827"/>
      <c r="H440" s="482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4083</v>
      </c>
      <c r="E446" s="4824" t="s">
        <v>3121</v>
      </c>
      <c r="F446" s="4824"/>
      <c r="G446" s="4824"/>
      <c r="H446" s="4824"/>
    </row>
    <row r="447" spans="1:8" ht="12.75" customHeight="1">
      <c r="C447" s="1450"/>
      <c r="D447" s="642" t="s">
        <v>2984</v>
      </c>
      <c r="E447" s="4824" t="s">
        <v>3122</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4083</v>
      </c>
      <c r="E451" s="4824" t="s">
        <v>3121</v>
      </c>
      <c r="F451" s="4824"/>
      <c r="G451" s="4824"/>
      <c r="H451" s="4824"/>
    </row>
    <row r="452" spans="1:8" ht="12.75" customHeight="1">
      <c r="C452" s="1450"/>
      <c r="D452" s="1448" t="s">
        <v>2984</v>
      </c>
      <c r="E452" s="4827" t="s">
        <v>3122</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4083</v>
      </c>
      <c r="E456" s="4824" t="s">
        <v>3121</v>
      </c>
      <c r="F456" s="4824"/>
      <c r="G456" s="4824"/>
      <c r="H456" s="4824"/>
    </row>
    <row r="457" spans="1:8" ht="12.75" customHeight="1">
      <c r="C457" s="1450"/>
      <c r="D457" s="1448" t="s">
        <v>2984</v>
      </c>
      <c r="E457" s="4827" t="s">
        <v>3122</v>
      </c>
      <c r="F457" s="4827"/>
      <c r="G457" s="4827"/>
      <c r="H457" s="482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4083</v>
      </c>
      <c r="E463" s="4824" t="s">
        <v>3121</v>
      </c>
      <c r="F463" s="4824"/>
      <c r="G463" s="4824"/>
      <c r="H463" s="4824"/>
    </row>
    <row r="464" spans="1:8" ht="12.75" customHeight="1">
      <c r="C464" s="1450"/>
      <c r="D464" s="642" t="s">
        <v>2984</v>
      </c>
      <c r="E464" s="4824" t="s">
        <v>3122</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4083</v>
      </c>
      <c r="E468" s="4824" t="s">
        <v>3121</v>
      </c>
      <c r="F468" s="4824"/>
      <c r="G468" s="4824"/>
      <c r="H468" s="4824"/>
    </row>
    <row r="469" spans="1:8" ht="12.75" customHeight="1">
      <c r="C469" s="1450"/>
      <c r="D469" s="1448" t="s">
        <v>2984</v>
      </c>
      <c r="E469" s="4827" t="s">
        <v>3122</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4083</v>
      </c>
      <c r="E473" s="4824" t="s">
        <v>3121</v>
      </c>
      <c r="F473" s="4824"/>
      <c r="G473" s="4824"/>
      <c r="H473" s="4824"/>
    </row>
    <row r="474" spans="1:8" ht="12.75" customHeight="1">
      <c r="C474" s="1450"/>
      <c r="D474" s="1448" t="s">
        <v>2984</v>
      </c>
      <c r="E474" s="4827" t="s">
        <v>3122</v>
      </c>
      <c r="F474" s="4827"/>
      <c r="G474" s="4827"/>
      <c r="H474" s="482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4083</v>
      </c>
      <c r="E480" s="4824" t="s">
        <v>3121</v>
      </c>
      <c r="F480" s="4824"/>
      <c r="G480" s="4824"/>
      <c r="H480" s="4824"/>
    </row>
    <row r="481" spans="1:11" ht="12.75" customHeight="1">
      <c r="C481" s="1450"/>
      <c r="D481" s="642" t="s">
        <v>2984</v>
      </c>
      <c r="E481" s="4824" t="s">
        <v>3122</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4083</v>
      </c>
      <c r="E485" s="4824" t="s">
        <v>3121</v>
      </c>
      <c r="F485" s="4824"/>
      <c r="G485" s="4824"/>
      <c r="H485" s="4824"/>
    </row>
    <row r="486" spans="1:11" ht="12.75" customHeight="1">
      <c r="C486" s="1450"/>
      <c r="D486" s="1448" t="s">
        <v>2984</v>
      </c>
      <c r="E486" s="4827" t="s">
        <v>3122</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4083</v>
      </c>
      <c r="E490" s="4824" t="s">
        <v>3121</v>
      </c>
      <c r="F490" s="4824"/>
      <c r="G490" s="4824"/>
      <c r="H490" s="4824"/>
    </row>
    <row r="491" spans="1:11" ht="12.75" customHeight="1">
      <c r="C491" s="1450"/>
      <c r="D491" s="1448" t="s">
        <v>2984</v>
      </c>
      <c r="E491" s="4827" t="s">
        <v>3122</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2"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3121</v>
      </c>
      <c r="F497" s="4824"/>
      <c r="G497" s="4824"/>
      <c r="H497" s="4824"/>
    </row>
    <row r="498" spans="1:8" ht="12.75" customHeight="1">
      <c r="D498" s="642" t="s">
        <v>2984</v>
      </c>
      <c r="E498" s="4824" t="s">
        <v>3122</v>
      </c>
      <c r="F498" s="4824"/>
      <c r="G498" s="4824"/>
      <c r="H498" s="4824"/>
    </row>
    <row r="499" spans="1:8" ht="9" customHeight="1" thickBot="1"/>
    <row r="500" spans="1:8" ht="16.25" customHeight="1" thickBot="1">
      <c r="A500" s="4825">
        <v>80</v>
      </c>
      <c r="B500" s="4826"/>
      <c r="C500" s="1451" t="s">
        <v>975</v>
      </c>
    </row>
    <row r="501" spans="1:8" ht="9" customHeight="1">
      <c r="A501" s="611"/>
    </row>
    <row r="502" spans="1:8" ht="28.25" customHeight="1">
      <c r="A502" s="4824" t="s">
        <v>4090</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4078</v>
      </c>
      <c r="D504" s="638" t="s">
        <v>4079</v>
      </c>
    </row>
    <row r="505" spans="1:8" ht="2"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4083</v>
      </c>
      <c r="E508" s="4824" t="s">
        <v>3121</v>
      </c>
      <c r="F508" s="4824"/>
      <c r="G508" s="4824"/>
      <c r="H508" s="4824"/>
    </row>
    <row r="509" spans="1:8" ht="12.75" customHeight="1">
      <c r="C509" s="1450"/>
      <c r="D509" s="1448" t="s">
        <v>2984</v>
      </c>
      <c r="E509" s="4827" t="s">
        <v>3122</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4083</v>
      </c>
      <c r="E513" s="4824" t="s">
        <v>3121</v>
      </c>
      <c r="F513" s="4824"/>
      <c r="G513" s="4824"/>
      <c r="H513" s="4824"/>
    </row>
    <row r="514" spans="1:8" ht="12.75" customHeight="1">
      <c r="C514" s="1450"/>
      <c r="D514" s="1448" t="s">
        <v>2984</v>
      </c>
      <c r="E514" s="4827" t="s">
        <v>3122</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4083</v>
      </c>
      <c r="E518" s="4824" t="s">
        <v>3121</v>
      </c>
      <c r="F518" s="4824"/>
      <c r="G518" s="4824"/>
      <c r="H518" s="4824"/>
    </row>
    <row r="519" spans="1:8" ht="12.75" customHeight="1">
      <c r="C519" s="1450"/>
      <c r="D519" s="1448" t="s">
        <v>2984</v>
      </c>
      <c r="E519" s="4827" t="s">
        <v>3122</v>
      </c>
      <c r="F519" s="4827"/>
      <c r="G519" s="4827"/>
      <c r="H519" s="482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4083</v>
      </c>
      <c r="E525" s="4824" t="s">
        <v>3121</v>
      </c>
      <c r="F525" s="4824"/>
      <c r="G525" s="4824"/>
      <c r="H525" s="4824"/>
    </row>
    <row r="526" spans="1:8" ht="12.75" customHeight="1">
      <c r="C526" s="1450"/>
      <c r="D526" s="642" t="s">
        <v>2984</v>
      </c>
      <c r="E526" s="4824" t="s">
        <v>3122</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4083</v>
      </c>
      <c r="E530" s="4824" t="s">
        <v>3121</v>
      </c>
      <c r="F530" s="4824"/>
      <c r="G530" s="4824"/>
      <c r="H530" s="4824"/>
    </row>
    <row r="531" spans="1:8" ht="12.75" customHeight="1">
      <c r="C531" s="1450"/>
      <c r="D531" s="1448" t="s">
        <v>2984</v>
      </c>
      <c r="E531" s="4827" t="s">
        <v>3122</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4083</v>
      </c>
      <c r="E535" s="4824" t="s">
        <v>3121</v>
      </c>
      <c r="F535" s="4824"/>
      <c r="G535" s="4824"/>
      <c r="H535" s="4824"/>
    </row>
    <row r="536" spans="1:8" ht="12.75" customHeight="1">
      <c r="C536" s="1450"/>
      <c r="D536" s="1448" t="s">
        <v>2984</v>
      </c>
      <c r="E536" s="4827" t="s">
        <v>3122</v>
      </c>
      <c r="F536" s="4827"/>
      <c r="G536" s="4827"/>
      <c r="H536" s="482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4083</v>
      </c>
      <c r="E542" s="4824" t="s">
        <v>3121</v>
      </c>
      <c r="F542" s="4824"/>
      <c r="G542" s="4824"/>
      <c r="H542" s="4824"/>
    </row>
    <row r="543" spans="1:8" ht="12.75" customHeight="1">
      <c r="C543" s="1450"/>
      <c r="D543" s="642" t="s">
        <v>2984</v>
      </c>
      <c r="E543" s="4824" t="s">
        <v>3122</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4083</v>
      </c>
      <c r="E547" s="4824" t="s">
        <v>3121</v>
      </c>
      <c r="F547" s="4824"/>
      <c r="G547" s="4824"/>
      <c r="H547" s="4824"/>
    </row>
    <row r="548" spans="1:8" ht="12.75" customHeight="1">
      <c r="C548" s="1450"/>
      <c r="D548" s="1448" t="s">
        <v>2984</v>
      </c>
      <c r="E548" s="4827" t="s">
        <v>3122</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4083</v>
      </c>
      <c r="E552" s="4824" t="s">
        <v>3121</v>
      </c>
      <c r="F552" s="4824"/>
      <c r="G552" s="4824"/>
      <c r="H552" s="4824"/>
    </row>
    <row r="553" spans="1:8" ht="12.75" customHeight="1">
      <c r="C553" s="1450"/>
      <c r="D553" s="1448" t="s">
        <v>2984</v>
      </c>
      <c r="E553" s="4827" t="s">
        <v>3122</v>
      </c>
      <c r="F553" s="4827"/>
      <c r="G553" s="4827"/>
      <c r="H553" s="482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4083</v>
      </c>
      <c r="E559" s="4824" t="s">
        <v>3121</v>
      </c>
      <c r="F559" s="4824"/>
      <c r="G559" s="4824"/>
      <c r="H559" s="4824"/>
    </row>
    <row r="560" spans="1:8" ht="12.75" customHeight="1">
      <c r="C560" s="1450"/>
      <c r="D560" s="642" t="s">
        <v>2984</v>
      </c>
      <c r="E560" s="4824" t="s">
        <v>3122</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4083</v>
      </c>
      <c r="E564" s="4824" t="s">
        <v>3121</v>
      </c>
      <c r="F564" s="4824"/>
      <c r="G564" s="4824"/>
      <c r="H564" s="4824"/>
    </row>
    <row r="565" spans="1:11" ht="12.75" customHeight="1">
      <c r="C565" s="1450"/>
      <c r="D565" s="1448" t="s">
        <v>2984</v>
      </c>
      <c r="E565" s="4827" t="s">
        <v>3122</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4083</v>
      </c>
      <c r="E569" s="4824" t="s">
        <v>3121</v>
      </c>
      <c r="F569" s="4824"/>
      <c r="G569" s="4824"/>
      <c r="H569" s="4824"/>
    </row>
    <row r="570" spans="1:11" ht="12.75" customHeight="1">
      <c r="C570" s="1450"/>
      <c r="D570" s="1448" t="s">
        <v>2984</v>
      </c>
      <c r="E570" s="4827" t="s">
        <v>3122</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2"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3121</v>
      </c>
      <c r="F576" s="4824"/>
      <c r="G576" s="4824"/>
      <c r="H576" s="4824"/>
    </row>
    <row r="577" spans="4:8" ht="12.75" customHeight="1">
      <c r="D577" s="642" t="s">
        <v>2984</v>
      </c>
      <c r="E577" s="4824" t="s">
        <v>3122</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432" customWidth="1"/>
    <col min="2" max="2" width="6" style="432" customWidth="1"/>
    <col min="3" max="3" width="8.33203125" style="432" customWidth="1"/>
    <col min="4" max="4" width="7.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 style="432" customWidth="1"/>
    <col min="18" max="18" width="8.33203125" style="432" customWidth="1"/>
    <col min="19" max="19" width="5.6640625" style="609" customWidth="1"/>
    <col min="20" max="20" width="5.6640625" style="432" customWidth="1"/>
    <col min="21" max="21" width="3.6640625" style="432" customWidth="1"/>
    <col min="22" max="23" width="5.5" style="432" customWidth="1"/>
    <col min="24" max="16384" width="9.33203125" style="432"/>
  </cols>
  <sheetData>
    <row r="1" spans="1:14">
      <c r="A1" s="510" t="s">
        <v>2881</v>
      </c>
      <c r="H1" s="614" t="str">
        <f>'Sensitivity Analysis'!C8</f>
        <v>Fairhaven on Campbellton</v>
      </c>
    </row>
    <row r="2" spans="1:14">
      <c r="A2" s="560" t="s">
        <v>2882</v>
      </c>
      <c r="H2" s="432" t="str">
        <f>'Sensitivity Analysis'!E8</f>
        <v>2023-0</v>
      </c>
    </row>
    <row r="3" spans="1:14" ht="3" customHeight="1"/>
    <row r="4" spans="1:14" ht="69.5" customHeight="1">
      <c r="A4" s="4828" t="s">
        <v>2978</v>
      </c>
      <c r="B4" s="4828"/>
      <c r="C4" s="4828"/>
      <c r="D4" s="4828"/>
      <c r="E4" s="4828"/>
      <c r="F4" s="4828"/>
      <c r="G4" s="4828"/>
      <c r="H4" s="4828"/>
      <c r="I4" s="4828"/>
      <c r="J4" s="4828"/>
      <c r="K4" s="4828"/>
      <c r="L4" s="4870">
        <f>SUM('Part VI-Pro Forma'!B15:B17)/12</f>
        <v>48143.347199999997</v>
      </c>
      <c r="M4" s="4870"/>
      <c r="N4" s="1493" t="s">
        <v>3663</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17270773</v>
      </c>
      <c r="M11" s="4829"/>
    </row>
    <row r="12" spans="1:14" ht="1.5" customHeight="1">
      <c r="G12" s="617"/>
      <c r="H12" s="617"/>
    </row>
    <row r="13" spans="1:14" ht="26"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5" customHeight="1">
      <c r="A23" s="4832" t="s">
        <v>4080</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10</v>
      </c>
      <c r="G27" s="1585">
        <f>'Part V-Revenues &amp; Expenses'!M58</f>
        <v>17</v>
      </c>
      <c r="H27" s="1585">
        <f>'Part V-Revenues &amp; Expenses'!N58</f>
        <v>7</v>
      </c>
      <c r="I27" s="1585">
        <f>'Part V-Revenues &amp; Expenses'!O58</f>
        <v>0</v>
      </c>
      <c r="J27" s="1586">
        <f>'Part V-Revenues &amp; Expenses'!P58</f>
        <v>34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5" customHeight="1">
      <c r="C30" s="736" t="s">
        <v>3679</v>
      </c>
      <c r="D30" s="439"/>
      <c r="E30" s="1584">
        <f>'Part V-Revenues &amp; Expenses'!K61</f>
        <v>0</v>
      </c>
      <c r="F30" s="1585">
        <f>'Part V-Revenues &amp; Expenses'!L61</f>
        <v>1</v>
      </c>
      <c r="G30" s="1585">
        <f>'Part V-Revenues &amp; Expenses'!M61</f>
        <v>1</v>
      </c>
      <c r="H30" s="1585">
        <f>'Part V-Revenues &amp; Expenses'!N61</f>
        <v>1</v>
      </c>
      <c r="I30" s="1585">
        <f>'Part V-Revenues &amp; Expenses'!O61</f>
        <v>0</v>
      </c>
      <c r="J30" s="1586">
        <f>'Part V-Revenues &amp; Expenses'!P61</f>
        <v>3</v>
      </c>
      <c r="K30" s="432"/>
      <c r="S30" s="432"/>
    </row>
    <row r="31" spans="1:19" ht="13.2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5" customHeight="1">
      <c r="C32" s="439" t="s">
        <v>504</v>
      </c>
      <c r="D32" s="439"/>
      <c r="E32" s="1587">
        <f>'Part V-Revenues &amp; Expenses'!K63</f>
        <v>0</v>
      </c>
      <c r="F32" s="1579">
        <f>'Part V-Revenues &amp; Expenses'!L63</f>
        <v>11</v>
      </c>
      <c r="G32" s="1579">
        <f>'Part V-Revenues &amp; Expenses'!M63</f>
        <v>18</v>
      </c>
      <c r="H32" s="1579">
        <f>'Part V-Revenues &amp; Expenses'!N63</f>
        <v>8</v>
      </c>
      <c r="I32" s="1579">
        <f>'Part V-Revenues &amp; Expenses'!O63</f>
        <v>0</v>
      </c>
      <c r="J32" s="1588">
        <f>'Part V-Revenues &amp; Expenses'!P63</f>
        <v>37</v>
      </c>
      <c r="K32" s="432"/>
      <c r="S32" s="432"/>
    </row>
    <row r="33" spans="1:12" s="432" customFormat="1" ht="13.25" customHeight="1" thickBot="1">
      <c r="K33" s="1492"/>
    </row>
    <row r="34" spans="1:12" s="432" customFormat="1" ht="14.25" customHeight="1" thickBot="1">
      <c r="A34" s="1492"/>
      <c r="B34" s="4844" t="s">
        <v>6171</v>
      </c>
      <c r="E34" s="4845" t="s">
        <v>6067</v>
      </c>
      <c r="F34" s="4846"/>
      <c r="G34" s="4846"/>
      <c r="H34" s="4846"/>
      <c r="I34" s="4846"/>
      <c r="J34" s="4846"/>
      <c r="K34" s="4846"/>
      <c r="L34" s="4847"/>
    </row>
    <row r="35" spans="1:12" s="432" customFormat="1" ht="14.25" customHeight="1">
      <c r="A35" s="1492"/>
      <c r="B35" s="4844"/>
      <c r="C35" s="4848" t="s">
        <v>6172</v>
      </c>
      <c r="D35" s="4844" t="s">
        <v>6173</v>
      </c>
      <c r="E35" s="4849" t="s">
        <v>6070</v>
      </c>
      <c r="F35" s="4850"/>
      <c r="G35" s="4853" t="s">
        <v>1275</v>
      </c>
      <c r="H35" s="4855" t="s">
        <v>6066</v>
      </c>
      <c r="I35" s="4856"/>
      <c r="J35" s="4856"/>
      <c r="K35" s="4856"/>
      <c r="L35" s="4857"/>
    </row>
    <row r="36" spans="1:12" s="432" customFormat="1" ht="23.25" customHeight="1">
      <c r="A36" s="4848" t="s">
        <v>975</v>
      </c>
      <c r="B36" s="4844"/>
      <c r="C36" s="4848"/>
      <c r="D36" s="4844"/>
      <c r="E36" s="4851"/>
      <c r="F36" s="4852"/>
      <c r="G36" s="4854"/>
      <c r="H36" s="4858" t="s">
        <v>6068</v>
      </c>
      <c r="I36" s="4859"/>
      <c r="J36" s="4862" t="s">
        <v>1275</v>
      </c>
      <c r="K36" s="4859" t="s">
        <v>6069</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2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8">
        <f>'Part V-Revenues &amp; Expenses'!H18</f>
        <v>0</v>
      </c>
      <c r="F39" s="4869"/>
      <c r="G39" s="439"/>
      <c r="H39" s="4838"/>
      <c r="I39" s="4839"/>
      <c r="J39" s="4839"/>
      <c r="K39" s="4839"/>
      <c r="L39" s="4840"/>
    </row>
    <row r="40" spans="1:12" s="432" customFormat="1" ht="13.25" customHeight="1">
      <c r="A40" s="1574">
        <f>'Part V-Revenues &amp; Expenses'!B19</f>
        <v>60</v>
      </c>
      <c r="B40" s="1575">
        <f>'Part V-Revenues &amp; Expenses'!E19</f>
        <v>10</v>
      </c>
      <c r="C40" s="1576" t="str">
        <f>_xlfn.CONCAT('Part V-Revenues &amp; Expenses'!C19," / ",'Part V-Revenues &amp; Expenses'!D19)</f>
        <v>1 / 1</v>
      </c>
      <c r="D40" s="1575">
        <f>'Part V-Revenues &amp; Expenses'!F19</f>
        <v>650</v>
      </c>
      <c r="E40" s="4836">
        <f>'Part V-Revenues &amp; Expenses'!H19</f>
        <v>1084</v>
      </c>
      <c r="F40" s="4837"/>
      <c r="G40" s="439"/>
      <c r="H40" s="4833"/>
      <c r="I40" s="4834"/>
      <c r="J40" s="4834"/>
      <c r="K40" s="4834"/>
      <c r="L40" s="4835"/>
    </row>
    <row r="41" spans="1:12" s="432" customFormat="1" ht="13.25" customHeight="1">
      <c r="A41" s="1574">
        <f>'Part V-Revenues &amp; Expenses'!B20</f>
        <v>30</v>
      </c>
      <c r="B41" s="1575">
        <f>'Part V-Revenues &amp; Expenses'!E20</f>
        <v>1</v>
      </c>
      <c r="C41" s="1576" t="str">
        <f>_xlfn.CONCAT('Part V-Revenues &amp; Expenses'!C20," / ",'Part V-Revenues &amp; Expenses'!D20)</f>
        <v>1 / 1</v>
      </c>
      <c r="D41" s="1575">
        <f>'Part V-Revenues &amp; Expenses'!F20</f>
        <v>650</v>
      </c>
      <c r="E41" s="4836">
        <f>'Part V-Revenues &amp; Expenses'!H20</f>
        <v>542</v>
      </c>
      <c r="F41" s="4837"/>
      <c r="G41" s="439"/>
      <c r="H41" s="4833"/>
      <c r="I41" s="4834"/>
      <c r="J41" s="4834"/>
      <c r="K41" s="4834"/>
      <c r="L41" s="4835"/>
    </row>
    <row r="42" spans="1:12" s="432" customFormat="1" ht="13.2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6">
        <f>'Part V-Revenues &amp; Expenses'!H21</f>
        <v>0</v>
      </c>
      <c r="F42" s="4837"/>
      <c r="G42" s="439"/>
      <c r="H42" s="4833"/>
      <c r="I42" s="4834"/>
      <c r="J42" s="4834"/>
      <c r="K42" s="4834"/>
      <c r="L42" s="4835"/>
    </row>
    <row r="43" spans="1:12" s="432" customFormat="1" ht="13.25" customHeight="1">
      <c r="A43" s="1574">
        <f>'Part V-Revenues &amp; Expenses'!B22</f>
        <v>60</v>
      </c>
      <c r="B43" s="1575">
        <f>'Part V-Revenues &amp; Expenses'!E22</f>
        <v>17</v>
      </c>
      <c r="C43" s="1576" t="str">
        <f>_xlfn.CONCAT('Part V-Revenues &amp; Expenses'!C22," / ",'Part V-Revenues &amp; Expenses'!D22)</f>
        <v>2 / 1</v>
      </c>
      <c r="D43" s="1575">
        <f>'Part V-Revenues &amp; Expenses'!F22</f>
        <v>850</v>
      </c>
      <c r="E43" s="4836">
        <f>'Part V-Revenues &amp; Expenses'!H22</f>
        <v>1302</v>
      </c>
      <c r="F43" s="4837"/>
      <c r="G43" s="439"/>
      <c r="H43" s="4833"/>
      <c r="I43" s="4834"/>
      <c r="J43" s="4834"/>
      <c r="K43" s="4834"/>
      <c r="L43" s="4835"/>
    </row>
    <row r="44" spans="1:12" s="432" customFormat="1" ht="13.25" customHeight="1">
      <c r="A44" s="1574">
        <f>'Part V-Revenues &amp; Expenses'!B23</f>
        <v>30</v>
      </c>
      <c r="B44" s="1575">
        <f>'Part V-Revenues &amp; Expenses'!E23</f>
        <v>1</v>
      </c>
      <c r="C44" s="1576" t="str">
        <f>_xlfn.CONCAT('Part V-Revenues &amp; Expenses'!C23," / ",'Part V-Revenues &amp; Expenses'!D23)</f>
        <v>2 / 1</v>
      </c>
      <c r="D44" s="1575">
        <f>'Part V-Revenues &amp; Expenses'!F23</f>
        <v>850</v>
      </c>
      <c r="E44" s="4836">
        <f>'Part V-Revenues &amp; Expenses'!H23</f>
        <v>651</v>
      </c>
      <c r="F44" s="4837"/>
      <c r="G44" s="439"/>
      <c r="H44" s="4833"/>
      <c r="I44" s="4834"/>
      <c r="J44" s="4834"/>
      <c r="K44" s="4834"/>
      <c r="L44" s="4835"/>
    </row>
    <row r="45" spans="1:12" s="432" customFormat="1" ht="13.2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6">
        <f>'Part V-Revenues &amp; Expenses'!H24</f>
        <v>0</v>
      </c>
      <c r="F45" s="4837"/>
      <c r="G45" s="439"/>
      <c r="H45" s="4833"/>
      <c r="I45" s="4834"/>
      <c r="J45" s="4834"/>
      <c r="K45" s="4834"/>
      <c r="L45" s="4835"/>
    </row>
    <row r="46" spans="1:12" s="432" customFormat="1" ht="13.25" customHeight="1">
      <c r="A46" s="1574">
        <f>'Part V-Revenues &amp; Expenses'!B25</f>
        <v>60</v>
      </c>
      <c r="B46" s="1575">
        <f>'Part V-Revenues &amp; Expenses'!E25</f>
        <v>7</v>
      </c>
      <c r="C46" s="1576" t="str">
        <f>_xlfn.CONCAT('Part V-Revenues &amp; Expenses'!C25," / ",'Part V-Revenues &amp; Expenses'!D25)</f>
        <v>3 / 2</v>
      </c>
      <c r="D46" s="1575">
        <f>'Part V-Revenues &amp; Expenses'!F25</f>
        <v>1100</v>
      </c>
      <c r="E46" s="4836">
        <f>'Part V-Revenues &amp; Expenses'!H25</f>
        <v>1504</v>
      </c>
      <c r="F46" s="4837"/>
      <c r="G46" s="439"/>
      <c r="H46" s="4833"/>
      <c r="I46" s="4834"/>
      <c r="J46" s="4834"/>
      <c r="K46" s="4834"/>
      <c r="L46" s="4835"/>
    </row>
    <row r="47" spans="1:12" s="432" customFormat="1" ht="13.25" customHeight="1">
      <c r="A47" s="1574">
        <f>'Part V-Revenues &amp; Expenses'!B26</f>
        <v>30</v>
      </c>
      <c r="B47" s="1575">
        <f>'Part V-Revenues &amp; Expenses'!E26</f>
        <v>1</v>
      </c>
      <c r="C47" s="1576" t="str">
        <f>_xlfn.CONCAT('Part V-Revenues &amp; Expenses'!C26," / ",'Part V-Revenues &amp; Expenses'!D26)</f>
        <v>3 / 2</v>
      </c>
      <c r="D47" s="1575">
        <f>'Part V-Revenues &amp; Expenses'!F26</f>
        <v>1100</v>
      </c>
      <c r="E47" s="4836">
        <f>'Part V-Revenues &amp; Expenses'!H26</f>
        <v>752</v>
      </c>
      <c r="F47" s="4837"/>
      <c r="G47" s="439"/>
      <c r="H47" s="4833"/>
      <c r="I47" s="4834"/>
      <c r="J47" s="4834"/>
      <c r="K47" s="4834"/>
      <c r="L47" s="4835"/>
    </row>
    <row r="48" spans="1:12" s="432" customFormat="1" ht="13.2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33"/>
      <c r="I48" s="4834"/>
      <c r="J48" s="4834"/>
      <c r="K48" s="4834"/>
      <c r="L48" s="4835"/>
    </row>
    <row r="49" spans="1:13" s="432" customFormat="1" ht="13.2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33"/>
      <c r="I49" s="4834"/>
      <c r="J49" s="4834"/>
      <c r="K49" s="4834"/>
      <c r="L49" s="4835"/>
    </row>
    <row r="50" spans="1:13" s="432" customFormat="1" ht="13.2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33"/>
      <c r="I50" s="4834"/>
      <c r="J50" s="4834"/>
      <c r="K50" s="4834"/>
      <c r="L50" s="4835"/>
    </row>
    <row r="51" spans="1:13" s="432" customFormat="1" ht="13.2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33"/>
      <c r="I51" s="4834"/>
      <c r="J51" s="4834"/>
      <c r="K51" s="4834"/>
      <c r="L51" s="4835"/>
    </row>
    <row r="52" spans="1:13" s="432" customFormat="1" ht="13.2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33"/>
      <c r="I52" s="4834"/>
      <c r="J52" s="4834"/>
      <c r="K52" s="4834"/>
      <c r="L52" s="4835"/>
    </row>
    <row r="53" spans="1:13" s="432" customFormat="1" ht="13.2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33"/>
      <c r="I53" s="4834"/>
      <c r="J53" s="4834"/>
      <c r="K53" s="4834"/>
      <c r="L53" s="4835"/>
    </row>
    <row r="54" spans="1:13" s="432" customFormat="1" ht="13.2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33"/>
      <c r="I54" s="4834"/>
      <c r="J54" s="4834"/>
      <c r="K54" s="4834"/>
      <c r="L54" s="4835"/>
    </row>
    <row r="55" spans="1:13" s="432" customFormat="1" ht="13.2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33"/>
      <c r="I55" s="4834"/>
      <c r="J55" s="4834"/>
      <c r="K55" s="4834"/>
      <c r="L55" s="4835"/>
    </row>
    <row r="56" spans="1:13" s="432" customFormat="1" ht="13.2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33"/>
      <c r="I56" s="4834"/>
      <c r="J56" s="4834"/>
      <c r="K56" s="4834"/>
      <c r="L56" s="4835"/>
    </row>
    <row r="57" spans="1:13" s="432" customFormat="1" ht="13.2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33"/>
      <c r="I57" s="4834"/>
      <c r="J57" s="4834"/>
      <c r="K57" s="4834"/>
      <c r="L57" s="4835"/>
    </row>
    <row r="58" spans="1:13" s="432" customFormat="1" ht="13.2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33"/>
      <c r="I58" s="4834"/>
      <c r="J58" s="4834"/>
      <c r="K58" s="4834"/>
      <c r="L58" s="4835"/>
    </row>
    <row r="59" spans="1:13" s="432" customFormat="1" ht="13.2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33"/>
      <c r="I59" s="4834"/>
      <c r="J59" s="4834"/>
      <c r="K59" s="4834"/>
      <c r="L59" s="4835"/>
    </row>
    <row r="60" spans="1:13" s="432" customFormat="1" ht="13.2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33"/>
      <c r="I60" s="4834"/>
      <c r="J60" s="4834"/>
      <c r="K60" s="4834"/>
      <c r="L60" s="4835"/>
      <c r="M60" s="616"/>
    </row>
    <row r="61" spans="1:13" s="432" customFormat="1" ht="13.2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33"/>
      <c r="I61" s="4834"/>
      <c r="J61" s="4834"/>
      <c r="K61" s="4834"/>
      <c r="L61" s="4835"/>
      <c r="M61" s="616"/>
    </row>
    <row r="62" spans="1:13" s="432" customFormat="1" ht="13.2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33"/>
      <c r="I62" s="4834"/>
      <c r="J62" s="4834"/>
      <c r="K62" s="4834"/>
      <c r="L62" s="4835"/>
      <c r="M62" s="616"/>
    </row>
    <row r="63" spans="1:13" s="432" customFormat="1" ht="13.2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33"/>
      <c r="I63" s="4834"/>
      <c r="J63" s="4834"/>
      <c r="K63" s="4834"/>
      <c r="L63" s="4835"/>
      <c r="M63" s="616"/>
    </row>
    <row r="64" spans="1:13" s="432" customFormat="1" ht="13.2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33"/>
      <c r="I64" s="4834"/>
      <c r="J64" s="4834"/>
      <c r="K64" s="4834"/>
      <c r="L64" s="4835"/>
      <c r="M64" s="616"/>
    </row>
    <row r="65" spans="1:19" ht="13.2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33"/>
      <c r="I65" s="4834"/>
      <c r="J65" s="4834"/>
      <c r="K65" s="4834"/>
      <c r="L65" s="4835"/>
      <c r="M65" s="616"/>
      <c r="S65" s="432"/>
    </row>
    <row r="66" spans="1:19" ht="13.2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33"/>
      <c r="I66" s="4834"/>
      <c r="J66" s="4834"/>
      <c r="K66" s="4834"/>
      <c r="L66" s="4835"/>
      <c r="M66" s="616"/>
      <c r="S66" s="432"/>
    </row>
    <row r="67" spans="1:19" ht="13.2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33"/>
      <c r="I67" s="4834"/>
      <c r="J67" s="4834"/>
      <c r="K67" s="4834"/>
      <c r="L67" s="4835"/>
      <c r="M67" s="616"/>
      <c r="S67" s="432"/>
    </row>
    <row r="68" spans="1:19" ht="13.2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33"/>
      <c r="I68" s="4834"/>
      <c r="J68" s="4834"/>
      <c r="K68" s="4834"/>
      <c r="L68" s="4835"/>
      <c r="M68" s="616"/>
      <c r="S68" s="432"/>
    </row>
    <row r="69" spans="1:19" ht="13.2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6">
        <f>'Part V-Revenues &amp; Expenses'!H48</f>
        <v>0</v>
      </c>
      <c r="F69" s="4867"/>
      <c r="G69" s="1580"/>
      <c r="H69" s="4841"/>
      <c r="I69" s="4842"/>
      <c r="J69" s="4842"/>
      <c r="K69" s="4842"/>
      <c r="L69" s="4843"/>
      <c r="M69" s="616"/>
      <c r="S69" s="432"/>
    </row>
    <row r="70" spans="1:19" ht="13.25" customHeight="1">
      <c r="C70" s="1492"/>
      <c r="F70" s="616"/>
      <c r="G70" s="616"/>
      <c r="H70" s="616"/>
      <c r="I70" s="616"/>
      <c r="J70" s="616"/>
      <c r="K70" s="1491"/>
      <c r="L70" s="616"/>
      <c r="M70" s="616"/>
      <c r="S70" s="432"/>
    </row>
    <row r="71" spans="1:19" ht="13.25" customHeight="1">
      <c r="C71" s="1492"/>
      <c r="F71" s="616"/>
      <c r="G71" s="616"/>
      <c r="H71" s="616"/>
      <c r="I71" s="616"/>
      <c r="J71" s="616"/>
      <c r="K71" s="1491"/>
      <c r="L71" s="616"/>
      <c r="M71" s="616"/>
      <c r="S71" s="432"/>
    </row>
    <row r="72" spans="1:19" ht="13.25" customHeight="1">
      <c r="C72" s="1492"/>
      <c r="F72" s="616"/>
      <c r="G72" s="616"/>
      <c r="H72" s="616"/>
      <c r="I72" s="616"/>
      <c r="J72" s="616"/>
      <c r="K72" s="1491"/>
      <c r="L72" s="616"/>
      <c r="M72" s="616"/>
      <c r="S72" s="432"/>
    </row>
    <row r="73" spans="1:19" ht="13.25" customHeight="1">
      <c r="C73" s="1492"/>
      <c r="F73" s="616"/>
      <c r="G73" s="616"/>
      <c r="H73" s="616"/>
      <c r="I73" s="616"/>
      <c r="J73" s="616"/>
      <c r="K73" s="1491"/>
      <c r="L73" s="616"/>
      <c r="M73" s="616"/>
      <c r="S73" s="432"/>
    </row>
    <row r="74" spans="1:19" ht="13.25" customHeight="1">
      <c r="C74" s="1492"/>
      <c r="F74" s="616"/>
      <c r="G74" s="616"/>
      <c r="H74" s="616"/>
      <c r="I74" s="616"/>
      <c r="J74" s="616"/>
      <c r="K74" s="1491"/>
      <c r="L74" s="616"/>
      <c r="M74" s="616"/>
      <c r="S74" s="432"/>
    </row>
    <row r="75" spans="1:19" ht="13.25" customHeight="1">
      <c r="C75" s="1492"/>
      <c r="F75" s="616"/>
      <c r="G75" s="616"/>
      <c r="H75" s="616"/>
      <c r="I75" s="616"/>
      <c r="J75" s="616"/>
      <c r="K75" s="1491"/>
      <c r="L75" s="616"/>
      <c r="M75" s="616"/>
      <c r="S75" s="432"/>
    </row>
    <row r="76" spans="1:19" ht="13.25" customHeight="1">
      <c r="C76" s="1492"/>
      <c r="F76" s="616"/>
      <c r="G76" s="616"/>
      <c r="H76" s="616"/>
      <c r="I76" s="616"/>
      <c r="J76" s="616"/>
      <c r="K76" s="1491"/>
      <c r="L76" s="616"/>
      <c r="M76" s="616"/>
      <c r="S76" s="432"/>
    </row>
    <row r="77" spans="1:19" ht="13.25" customHeight="1">
      <c r="C77" s="1492"/>
      <c r="F77" s="616"/>
      <c r="G77" s="616"/>
      <c r="H77" s="616"/>
      <c r="I77" s="616"/>
      <c r="J77" s="616"/>
      <c r="K77" s="1491"/>
      <c r="L77" s="616"/>
      <c r="M77" s="616"/>
      <c r="S77" s="432"/>
    </row>
    <row r="78" spans="1:19" ht="13.25" customHeight="1">
      <c r="C78" s="1492"/>
      <c r="F78" s="616"/>
      <c r="G78" s="616"/>
      <c r="H78" s="616"/>
      <c r="I78" s="616"/>
      <c r="J78" s="616"/>
      <c r="K78" s="1491"/>
      <c r="L78" s="616"/>
      <c r="M78" s="616"/>
      <c r="S78" s="432"/>
    </row>
    <row r="79" spans="1:19" ht="13.25" customHeight="1">
      <c r="C79" s="1492"/>
      <c r="F79" s="616"/>
      <c r="G79" s="616"/>
      <c r="H79" s="616"/>
      <c r="I79" s="616"/>
      <c r="J79" s="616"/>
      <c r="K79" s="1491"/>
      <c r="L79" s="616"/>
      <c r="M79" s="616"/>
      <c r="S79" s="432"/>
    </row>
    <row r="80" spans="1:19" ht="13.25" customHeight="1">
      <c r="C80" s="1492"/>
      <c r="F80" s="616"/>
      <c r="G80" s="616"/>
      <c r="H80" s="616"/>
      <c r="I80" s="616"/>
      <c r="J80" s="616"/>
      <c r="K80" s="1491"/>
      <c r="L80" s="616"/>
      <c r="M80" s="616"/>
      <c r="S80" s="432"/>
    </row>
    <row r="81" spans="3:19" ht="13.25" customHeight="1">
      <c r="C81" s="1492"/>
      <c r="F81" s="616"/>
      <c r="G81" s="616"/>
      <c r="H81" s="616"/>
      <c r="I81" s="616"/>
      <c r="J81" s="616"/>
      <c r="K81" s="1491"/>
      <c r="L81" s="616"/>
      <c r="M81" s="616"/>
      <c r="S81" s="432"/>
    </row>
    <row r="82" spans="3:19" ht="13.25" customHeight="1">
      <c r="C82" s="1492"/>
      <c r="F82" s="616"/>
      <c r="G82" s="616"/>
      <c r="H82" s="616"/>
      <c r="I82" s="616"/>
      <c r="J82" s="616"/>
      <c r="K82" s="1491"/>
      <c r="L82" s="616"/>
      <c r="M82" s="616"/>
      <c r="S82" s="432"/>
    </row>
    <row r="83" spans="3:19" ht="13.25" customHeight="1">
      <c r="C83" s="1492"/>
      <c r="F83" s="616"/>
      <c r="G83" s="616"/>
      <c r="H83" s="616"/>
      <c r="I83" s="616"/>
      <c r="J83" s="616"/>
      <c r="K83" s="1491"/>
      <c r="L83" s="616"/>
      <c r="M83" s="616"/>
      <c r="S83" s="432"/>
    </row>
    <row r="84" spans="3:19" ht="13.25" customHeight="1">
      <c r="C84" s="1492"/>
      <c r="F84" s="616"/>
      <c r="G84" s="616"/>
      <c r="H84" s="616"/>
      <c r="I84" s="616"/>
      <c r="J84" s="616"/>
      <c r="K84" s="1491"/>
      <c r="L84" s="616"/>
      <c r="M84" s="616"/>
      <c r="S84" s="432"/>
    </row>
    <row r="85" spans="3:19" ht="13.25" customHeight="1">
      <c r="C85" s="1492"/>
      <c r="F85" s="616"/>
      <c r="G85" s="616"/>
      <c r="H85" s="616"/>
      <c r="I85" s="616"/>
      <c r="J85" s="616"/>
      <c r="K85" s="1491"/>
      <c r="L85" s="616"/>
      <c r="M85" s="616"/>
      <c r="S85" s="432"/>
    </row>
    <row r="86" spans="3:19" ht="13.25" customHeight="1">
      <c r="C86" s="1492"/>
      <c r="F86" s="616"/>
      <c r="G86" s="616"/>
      <c r="H86" s="616"/>
      <c r="I86" s="616"/>
      <c r="J86" s="616"/>
      <c r="K86" s="1491"/>
      <c r="L86" s="616"/>
      <c r="M86" s="616"/>
      <c r="S86" s="432"/>
    </row>
    <row r="87" spans="3:19" ht="13.25" customHeight="1">
      <c r="C87" s="1492"/>
      <c r="F87" s="616"/>
      <c r="G87" s="616"/>
      <c r="H87" s="616"/>
      <c r="I87" s="616"/>
      <c r="J87" s="616"/>
      <c r="K87" s="1491"/>
      <c r="L87" s="616"/>
      <c r="M87" s="616"/>
      <c r="S87" s="432"/>
    </row>
    <row r="88" spans="3:19" ht="13.25" customHeight="1">
      <c r="C88" s="1492"/>
      <c r="F88" s="616"/>
      <c r="G88" s="616"/>
      <c r="H88" s="616"/>
      <c r="I88" s="616"/>
      <c r="J88" s="616"/>
      <c r="K88" s="1491"/>
      <c r="L88" s="616"/>
      <c r="M88" s="616"/>
      <c r="S88" s="432"/>
    </row>
    <row r="89" spans="3:19" ht="13.25" customHeight="1">
      <c r="C89" s="1492"/>
      <c r="F89" s="616"/>
      <c r="G89" s="616"/>
      <c r="H89" s="616"/>
      <c r="I89" s="616"/>
      <c r="J89" s="616"/>
      <c r="K89" s="1491"/>
      <c r="L89" s="616"/>
      <c r="M89" s="616"/>
      <c r="S89" s="432"/>
    </row>
    <row r="90" spans="3:19" ht="13.25" customHeight="1">
      <c r="C90" s="1492"/>
      <c r="F90" s="616"/>
      <c r="G90" s="616"/>
      <c r="H90" s="616"/>
      <c r="I90" s="616"/>
      <c r="J90" s="616"/>
      <c r="K90" s="1491"/>
      <c r="L90" s="616"/>
      <c r="M90" s="616"/>
      <c r="S90" s="432"/>
    </row>
    <row r="91" spans="3:19" ht="13.25" customHeight="1">
      <c r="C91" s="1492"/>
      <c r="F91" s="616"/>
      <c r="G91" s="616"/>
      <c r="H91" s="616"/>
      <c r="I91" s="616"/>
      <c r="J91" s="616"/>
      <c r="K91" s="1491"/>
      <c r="L91" s="616"/>
      <c r="M91" s="616"/>
      <c r="S91" s="432"/>
    </row>
    <row r="92" spans="3:19" ht="13.25" customHeight="1">
      <c r="C92" s="1492"/>
      <c r="F92" s="616"/>
      <c r="G92" s="616"/>
      <c r="H92" s="616"/>
      <c r="I92" s="616"/>
      <c r="J92" s="616"/>
      <c r="K92" s="1491"/>
      <c r="L92" s="616"/>
      <c r="M92" s="616"/>
      <c r="S92" s="432"/>
    </row>
    <row r="93" spans="3:19" ht="13.25" customHeight="1">
      <c r="C93" s="1492"/>
      <c r="F93" s="616"/>
      <c r="G93" s="616"/>
      <c r="H93" s="616"/>
      <c r="I93" s="616"/>
      <c r="J93" s="616"/>
      <c r="K93" s="1491"/>
      <c r="L93" s="616"/>
      <c r="M93" s="616"/>
      <c r="S93" s="432"/>
    </row>
    <row r="94" spans="3:19" ht="13.25" customHeight="1">
      <c r="C94" s="1492"/>
      <c r="F94" s="616"/>
      <c r="G94" s="616"/>
      <c r="H94" s="616"/>
      <c r="I94" s="616"/>
      <c r="J94" s="616"/>
      <c r="K94" s="1491"/>
      <c r="L94" s="616"/>
      <c r="M94" s="616"/>
      <c r="S94" s="432"/>
    </row>
    <row r="95" spans="3:19" ht="13.25" customHeight="1">
      <c r="C95" s="1492"/>
      <c r="F95" s="616"/>
      <c r="G95" s="616"/>
      <c r="H95" s="616"/>
      <c r="I95" s="616"/>
      <c r="J95" s="616"/>
      <c r="K95" s="1491"/>
      <c r="L95" s="616"/>
      <c r="M95" s="616"/>
      <c r="S95" s="432"/>
    </row>
    <row r="96" spans="3:19" ht="13.25" customHeight="1">
      <c r="C96" s="1492"/>
      <c r="F96" s="616"/>
      <c r="G96" s="616"/>
      <c r="H96" s="616"/>
      <c r="I96" s="616"/>
      <c r="J96" s="616"/>
      <c r="K96" s="1491"/>
      <c r="L96" s="616"/>
      <c r="M96" s="616"/>
      <c r="S96" s="432"/>
    </row>
    <row r="97" spans="3:19" ht="13.25" customHeight="1">
      <c r="C97" s="1492"/>
      <c r="F97" s="616"/>
      <c r="G97" s="616"/>
      <c r="H97" s="616"/>
      <c r="I97" s="616"/>
      <c r="J97" s="616"/>
      <c r="K97" s="1491"/>
      <c r="L97" s="616"/>
      <c r="M97" s="616"/>
      <c r="S97" s="432"/>
    </row>
    <row r="98" spans="3:19" ht="13.25" customHeight="1">
      <c r="C98" s="1492"/>
      <c r="F98" s="616"/>
      <c r="G98" s="616"/>
      <c r="H98" s="616"/>
      <c r="I98" s="616"/>
      <c r="J98" s="616"/>
      <c r="K98" s="1491"/>
      <c r="L98" s="616"/>
      <c r="M98" s="616"/>
      <c r="S98" s="432"/>
    </row>
    <row r="99" spans="3:19" ht="13.25" customHeight="1">
      <c r="C99" s="1492"/>
      <c r="F99" s="616"/>
      <c r="G99" s="616"/>
      <c r="H99" s="616"/>
      <c r="I99" s="616"/>
      <c r="J99" s="616"/>
      <c r="K99" s="1491"/>
      <c r="L99" s="616"/>
      <c r="M99" s="616"/>
      <c r="S99" s="432"/>
    </row>
    <row r="100" spans="3:19" ht="13.25" customHeight="1">
      <c r="C100" s="1492"/>
      <c r="F100" s="616"/>
      <c r="G100" s="616"/>
      <c r="H100" s="616"/>
      <c r="I100" s="616"/>
      <c r="J100" s="616"/>
      <c r="K100" s="1491"/>
      <c r="L100" s="616"/>
      <c r="M100" s="616"/>
      <c r="S100" s="432"/>
    </row>
    <row r="101" spans="3:19" ht="13.25" customHeight="1">
      <c r="C101" s="1492"/>
      <c r="F101" s="616"/>
      <c r="G101" s="616"/>
      <c r="H101" s="616"/>
      <c r="I101" s="616"/>
      <c r="J101" s="616"/>
      <c r="K101" s="1491"/>
      <c r="L101" s="616"/>
      <c r="M101" s="616"/>
      <c r="S101" s="432"/>
    </row>
    <row r="102" spans="3:19" ht="13.25" customHeight="1">
      <c r="C102" s="1492"/>
      <c r="F102" s="616"/>
      <c r="G102" s="616"/>
      <c r="H102" s="616"/>
      <c r="I102" s="616"/>
      <c r="J102" s="616"/>
      <c r="K102" s="1491"/>
      <c r="L102" s="616"/>
      <c r="M102" s="616"/>
      <c r="S102" s="432"/>
    </row>
    <row r="103" spans="3:19" ht="13.25" customHeight="1">
      <c r="C103" s="1492"/>
      <c r="F103" s="616"/>
      <c r="G103" s="616"/>
      <c r="H103" s="616"/>
      <c r="I103" s="616"/>
      <c r="J103" s="616"/>
      <c r="K103" s="1491"/>
      <c r="L103" s="616"/>
      <c r="M103" s="616"/>
      <c r="S103" s="432"/>
    </row>
    <row r="104" spans="3:19" ht="13.25" customHeight="1">
      <c r="C104" s="1492"/>
      <c r="F104" s="616"/>
      <c r="G104" s="616"/>
      <c r="H104" s="616"/>
      <c r="I104" s="616"/>
      <c r="J104" s="616"/>
      <c r="K104" s="1491"/>
      <c r="L104" s="616"/>
      <c r="M104" s="616"/>
      <c r="S104" s="432"/>
    </row>
    <row r="105" spans="3:19" ht="13.25" customHeight="1">
      <c r="C105" s="1492"/>
      <c r="F105" s="616"/>
      <c r="G105" s="616"/>
      <c r="H105" s="616"/>
      <c r="I105" s="616"/>
      <c r="J105" s="616"/>
      <c r="K105" s="1491"/>
      <c r="L105" s="616"/>
      <c r="M105" s="616"/>
      <c r="S105" s="432"/>
    </row>
    <row r="106" spans="3:19" ht="13.25" customHeight="1">
      <c r="C106" s="1492"/>
      <c r="F106" s="616"/>
      <c r="G106" s="616"/>
      <c r="H106" s="616"/>
      <c r="I106" s="616"/>
      <c r="J106" s="616"/>
      <c r="K106" s="1491"/>
      <c r="L106" s="616"/>
      <c r="M106" s="616"/>
      <c r="S106" s="432"/>
    </row>
    <row r="107" spans="3:19" ht="13.25" customHeight="1">
      <c r="C107" s="1492"/>
      <c r="F107" s="616"/>
      <c r="G107" s="616"/>
      <c r="H107" s="616"/>
      <c r="I107" s="616"/>
      <c r="J107" s="616"/>
      <c r="K107" s="1491"/>
      <c r="L107" s="616"/>
      <c r="M107" s="616"/>
      <c r="S107" s="432"/>
    </row>
    <row r="108" spans="3:19" ht="13.25" customHeight="1">
      <c r="C108" s="1492" t="s">
        <v>233</v>
      </c>
      <c r="F108" s="616"/>
      <c r="G108" s="616"/>
      <c r="H108" s="616"/>
      <c r="I108" s="616"/>
      <c r="J108" s="616"/>
      <c r="K108" s="1491"/>
      <c r="L108" s="616"/>
      <c r="M108" s="616"/>
      <c r="S108" s="432"/>
    </row>
    <row r="109" spans="3:19" ht="13.25" customHeight="1">
      <c r="C109" s="1492"/>
      <c r="F109" s="616"/>
      <c r="G109" s="616"/>
      <c r="H109" s="616"/>
      <c r="I109" s="616"/>
      <c r="J109" s="616"/>
      <c r="K109" s="1491"/>
      <c r="L109" s="616"/>
      <c r="M109" s="616"/>
      <c r="S109" s="432"/>
    </row>
    <row r="110" spans="3:19" ht="13.25" customHeight="1">
      <c r="C110" s="1492"/>
      <c r="F110" s="616"/>
      <c r="G110" s="616"/>
      <c r="H110" s="616"/>
      <c r="I110" s="616"/>
      <c r="J110" s="616"/>
      <c r="K110" s="1491"/>
      <c r="L110" s="616"/>
      <c r="M110" s="616"/>
      <c r="S110" s="432"/>
    </row>
    <row r="111" spans="3:19" ht="13.25" customHeight="1">
      <c r="C111" s="1492"/>
      <c r="F111" s="616"/>
      <c r="G111" s="616"/>
      <c r="H111" s="616"/>
      <c r="I111" s="616"/>
      <c r="J111" s="616"/>
      <c r="K111" s="1491"/>
      <c r="L111" s="616"/>
      <c r="M111" s="616"/>
      <c r="S111" s="432"/>
    </row>
    <row r="112" spans="3:19" ht="13.25" customHeight="1">
      <c r="C112" s="1492"/>
      <c r="F112" s="616"/>
      <c r="G112" s="616"/>
      <c r="H112" s="616"/>
      <c r="I112" s="616"/>
      <c r="J112" s="616"/>
      <c r="K112" s="1491"/>
      <c r="L112" s="616"/>
      <c r="M112" s="616"/>
      <c r="S112" s="432"/>
    </row>
    <row r="113" spans="3:19" ht="13.25" customHeight="1">
      <c r="C113" s="1492"/>
      <c r="F113" s="616"/>
      <c r="G113" s="616"/>
      <c r="H113" s="616"/>
      <c r="I113" s="616"/>
      <c r="J113" s="616"/>
      <c r="K113" s="1491"/>
      <c r="L113" s="616"/>
      <c r="M113" s="616"/>
      <c r="S113" s="432"/>
    </row>
    <row r="114" spans="3:19" ht="13.25" customHeight="1">
      <c r="C114" s="1492"/>
      <c r="F114" s="616"/>
      <c r="G114" s="616"/>
      <c r="H114" s="616"/>
      <c r="I114" s="616"/>
      <c r="J114" s="616"/>
      <c r="K114" s="1491"/>
      <c r="L114" s="616"/>
      <c r="M114" s="616"/>
      <c r="S114" s="432"/>
    </row>
    <row r="115" spans="3:19" ht="13.25" customHeight="1">
      <c r="C115" s="1492"/>
      <c r="F115" s="616"/>
      <c r="G115" s="616"/>
      <c r="H115" s="616"/>
      <c r="I115" s="616"/>
      <c r="J115" s="616"/>
      <c r="K115" s="1491"/>
      <c r="L115" s="616"/>
      <c r="M115" s="616"/>
      <c r="S115" s="432"/>
    </row>
    <row r="116" spans="3:19" ht="13.25" customHeight="1">
      <c r="C116" s="1492"/>
      <c r="F116" s="616"/>
      <c r="G116" s="616"/>
      <c r="H116" s="616"/>
      <c r="I116" s="616"/>
      <c r="J116" s="616"/>
      <c r="K116" s="1491"/>
      <c r="L116" s="616"/>
      <c r="M116" s="616"/>
      <c r="S116" s="432"/>
    </row>
    <row r="117" spans="3:19" ht="13.25" customHeight="1">
      <c r="C117" s="1492"/>
      <c r="F117" s="616"/>
      <c r="G117" s="616"/>
      <c r="H117" s="616"/>
      <c r="I117" s="616"/>
      <c r="J117" s="616"/>
      <c r="K117" s="1491"/>
      <c r="L117" s="616"/>
      <c r="M117" s="616"/>
      <c r="S117" s="432"/>
    </row>
    <row r="118" spans="3:19" ht="13.25" customHeight="1">
      <c r="C118" s="1492"/>
      <c r="F118" s="616"/>
      <c r="G118" s="616"/>
      <c r="H118" s="616"/>
      <c r="I118" s="616"/>
      <c r="J118" s="616"/>
      <c r="K118" s="1491"/>
      <c r="L118" s="616"/>
      <c r="M118" s="616"/>
      <c r="S118" s="432"/>
    </row>
    <row r="119" spans="3:19" ht="13.25" customHeight="1">
      <c r="C119" s="1492"/>
      <c r="F119" s="616"/>
      <c r="G119" s="616"/>
      <c r="H119" s="616"/>
      <c r="I119" s="616"/>
      <c r="J119" s="616"/>
      <c r="K119" s="1491"/>
      <c r="L119" s="616"/>
      <c r="M119" s="616"/>
      <c r="S119" s="432"/>
    </row>
    <row r="120" spans="3:19" ht="13.25" customHeight="1">
      <c r="C120" s="1492"/>
      <c r="F120" s="616"/>
      <c r="G120" s="616"/>
      <c r="H120" s="616"/>
      <c r="I120" s="616"/>
      <c r="J120" s="616"/>
      <c r="K120" s="1491"/>
      <c r="L120" s="616"/>
      <c r="M120" s="616"/>
      <c r="S120" s="432"/>
    </row>
    <row r="121" spans="3:19" ht="13.25" customHeight="1">
      <c r="C121" s="1492"/>
      <c r="F121" s="616"/>
      <c r="G121" s="616"/>
      <c r="H121" s="616"/>
      <c r="I121" s="616"/>
      <c r="J121" s="616"/>
      <c r="K121" s="1491"/>
      <c r="L121" s="616"/>
      <c r="M121" s="616"/>
      <c r="S121" s="432"/>
    </row>
    <row r="122" spans="3:19" ht="13.25" customHeight="1">
      <c r="C122" s="1492"/>
      <c r="F122" s="616"/>
      <c r="G122" s="616"/>
      <c r="H122" s="616"/>
      <c r="I122" s="616"/>
      <c r="J122" s="616"/>
      <c r="K122" s="1491"/>
      <c r="L122" s="616"/>
      <c r="M122" s="616"/>
      <c r="S122" s="432"/>
    </row>
    <row r="123" spans="3:19" ht="13.25" customHeight="1">
      <c r="C123" s="1492"/>
      <c r="F123" s="616"/>
      <c r="G123" s="616"/>
      <c r="H123" s="616"/>
      <c r="I123" s="616"/>
      <c r="J123" s="616"/>
      <c r="K123" s="1491"/>
      <c r="L123" s="616"/>
      <c r="M123" s="616"/>
      <c r="S123" s="432"/>
    </row>
    <row r="124" spans="3:19" ht="13.25" customHeight="1">
      <c r="C124" s="1492"/>
      <c r="F124" s="616"/>
      <c r="G124" s="616"/>
      <c r="H124" s="616"/>
      <c r="I124" s="616"/>
      <c r="J124" s="616"/>
      <c r="K124" s="1491"/>
      <c r="L124" s="616"/>
      <c r="M124" s="616"/>
      <c r="S124" s="432"/>
    </row>
    <row r="125" spans="3:19" ht="13.25" customHeight="1">
      <c r="C125" s="1492"/>
      <c r="F125" s="616"/>
      <c r="G125" s="616"/>
      <c r="H125" s="616"/>
      <c r="I125" s="616"/>
      <c r="J125" s="616"/>
      <c r="K125" s="1491"/>
      <c r="L125" s="616"/>
      <c r="M125" s="616"/>
      <c r="S125" s="432"/>
    </row>
    <row r="126" spans="3:19" ht="13.25" customHeight="1">
      <c r="C126" s="1492"/>
      <c r="F126" s="616"/>
      <c r="G126" s="616"/>
      <c r="H126" s="616"/>
      <c r="I126" s="616"/>
      <c r="J126" s="616"/>
      <c r="K126" s="1491"/>
      <c r="L126" s="616"/>
      <c r="M126" s="616"/>
      <c r="S126" s="432"/>
    </row>
    <row r="127" spans="3:19" ht="13.25" customHeight="1">
      <c r="C127" s="1492"/>
      <c r="F127" s="616"/>
      <c r="G127" s="616"/>
      <c r="H127" s="616"/>
      <c r="I127" s="616"/>
      <c r="J127" s="616"/>
      <c r="K127" s="1491"/>
      <c r="L127" s="616"/>
      <c r="M127" s="616"/>
      <c r="S127" s="432"/>
    </row>
    <row r="128" spans="3:19" ht="13.25" customHeight="1">
      <c r="C128" s="1492"/>
      <c r="F128" s="616"/>
      <c r="G128" s="616"/>
      <c r="H128" s="616"/>
      <c r="I128" s="616"/>
      <c r="J128" s="616"/>
      <c r="K128" s="1491"/>
      <c r="L128" s="616"/>
      <c r="M128" s="616"/>
      <c r="S128" s="432"/>
    </row>
    <row r="129" spans="3:19" ht="13.25" customHeight="1">
      <c r="C129" s="1492"/>
      <c r="F129" s="616"/>
      <c r="G129" s="616"/>
      <c r="H129" s="616"/>
      <c r="I129" s="616"/>
      <c r="J129" s="616"/>
      <c r="K129" s="1491"/>
      <c r="L129" s="616"/>
      <c r="M129" s="616"/>
      <c r="S129" s="432"/>
    </row>
    <row r="130" spans="3:19" ht="13.25" customHeight="1">
      <c r="C130" s="1492"/>
      <c r="F130" s="616"/>
      <c r="G130" s="616"/>
      <c r="H130" s="616"/>
      <c r="I130" s="616"/>
      <c r="J130" s="616"/>
      <c r="K130" s="1491"/>
      <c r="L130" s="616"/>
      <c r="M130" s="616"/>
      <c r="S130" s="432"/>
    </row>
    <row r="131" spans="3:19" ht="13.25" customHeight="1">
      <c r="C131" s="1492"/>
      <c r="F131" s="616"/>
      <c r="G131" s="616"/>
      <c r="H131" s="616"/>
      <c r="I131" s="616"/>
      <c r="J131" s="616"/>
      <c r="K131" s="1491"/>
      <c r="L131" s="616"/>
      <c r="M131" s="616"/>
      <c r="S131" s="432"/>
    </row>
    <row r="132" spans="3:19" ht="13.25" customHeight="1">
      <c r="C132" s="1492"/>
      <c r="F132" s="616"/>
      <c r="G132" s="616"/>
      <c r="H132" s="616"/>
      <c r="I132" s="616"/>
      <c r="J132" s="616"/>
      <c r="K132" s="1491"/>
      <c r="L132" s="616"/>
      <c r="M132" s="616"/>
      <c r="S132" s="432"/>
    </row>
    <row r="133" spans="3:19" ht="13.25" customHeight="1">
      <c r="C133" s="1492"/>
      <c r="F133" s="616"/>
      <c r="G133" s="616"/>
      <c r="H133" s="616"/>
      <c r="I133" s="616"/>
      <c r="J133" s="616"/>
      <c r="K133" s="1491"/>
      <c r="L133" s="616"/>
      <c r="M133" s="616"/>
      <c r="S133" s="432"/>
    </row>
    <row r="134" spans="3:19" ht="13.25" customHeight="1">
      <c r="C134" s="1492"/>
      <c r="F134" s="616"/>
      <c r="G134" s="616"/>
      <c r="H134" s="616"/>
      <c r="I134" s="616"/>
      <c r="J134" s="616"/>
      <c r="K134" s="1491"/>
      <c r="L134" s="616"/>
      <c r="M134" s="616"/>
      <c r="S134" s="432"/>
    </row>
    <row r="135" spans="3:19" ht="13.25" customHeight="1">
      <c r="C135" s="1492"/>
      <c r="F135" s="616"/>
      <c r="G135" s="616"/>
      <c r="H135" s="616"/>
      <c r="I135" s="616"/>
      <c r="J135" s="616"/>
      <c r="K135" s="1491"/>
      <c r="L135" s="616"/>
      <c r="M135" s="616"/>
      <c r="S135" s="432"/>
    </row>
    <row r="136" spans="3:19" ht="13.25" customHeight="1">
      <c r="C136" s="1492"/>
      <c r="F136" s="616"/>
      <c r="G136" s="616"/>
      <c r="H136" s="616"/>
      <c r="I136" s="616"/>
      <c r="J136" s="616"/>
      <c r="K136" s="1491"/>
      <c r="L136" s="616"/>
      <c r="M136" s="616"/>
      <c r="S136" s="432"/>
    </row>
    <row r="137" spans="3:19" ht="13.25" customHeight="1">
      <c r="C137" s="1492"/>
      <c r="F137" s="616"/>
      <c r="G137" s="616"/>
      <c r="H137" s="616"/>
      <c r="I137" s="616"/>
      <c r="J137" s="616"/>
      <c r="K137" s="1491"/>
      <c r="L137" s="616"/>
      <c r="M137" s="616"/>
      <c r="S137" s="432"/>
    </row>
    <row r="138" spans="3:19" ht="13.25" customHeight="1">
      <c r="C138" s="1492"/>
      <c r="F138" s="616"/>
      <c r="G138" s="616"/>
      <c r="H138" s="616"/>
      <c r="I138" s="616"/>
      <c r="J138" s="616"/>
      <c r="K138" s="1491"/>
      <c r="L138" s="616"/>
      <c r="M138" s="616"/>
      <c r="S138" s="432"/>
    </row>
    <row r="139" spans="3:19" ht="13.25" customHeight="1">
      <c r="C139" s="1492"/>
      <c r="F139" s="616"/>
      <c r="G139" s="616"/>
      <c r="H139" s="616"/>
      <c r="I139" s="616"/>
      <c r="J139" s="616"/>
      <c r="K139" s="1491"/>
      <c r="L139" s="616"/>
      <c r="M139" s="616"/>
      <c r="S139" s="432"/>
    </row>
    <row r="140" spans="3:19" ht="13.25" customHeight="1">
      <c r="C140" s="1492"/>
      <c r="F140" s="616"/>
      <c r="G140" s="616"/>
      <c r="H140" s="616"/>
      <c r="I140" s="616"/>
      <c r="J140" s="616"/>
      <c r="K140" s="1491"/>
      <c r="L140" s="616"/>
      <c r="M140" s="616"/>
      <c r="S140" s="432"/>
    </row>
    <row r="141" spans="3:19" ht="13.25" customHeight="1">
      <c r="C141" s="1492"/>
      <c r="F141" s="616"/>
      <c r="G141" s="616"/>
      <c r="H141" s="616"/>
      <c r="I141" s="616"/>
      <c r="J141" s="616"/>
      <c r="K141" s="1491"/>
      <c r="L141" s="616"/>
      <c r="M141" s="616"/>
      <c r="S141" s="432"/>
    </row>
    <row r="142" spans="3:19" ht="13.25" customHeight="1">
      <c r="C142" s="1492"/>
      <c r="F142" s="616"/>
      <c r="G142" s="616"/>
      <c r="H142" s="616"/>
      <c r="I142" s="616"/>
      <c r="J142" s="616"/>
      <c r="K142" s="1491"/>
      <c r="L142" s="616"/>
      <c r="M142" s="616"/>
      <c r="S142" s="432"/>
    </row>
    <row r="143" spans="3:19" ht="13.25" customHeight="1">
      <c r="C143" s="1492"/>
      <c r="F143" s="616"/>
      <c r="G143" s="616"/>
      <c r="H143" s="616"/>
      <c r="I143" s="616"/>
      <c r="J143" s="616"/>
      <c r="K143" s="1491"/>
      <c r="L143" s="616"/>
      <c r="M143" s="616"/>
      <c r="S143" s="432"/>
    </row>
    <row r="144" spans="3:19" ht="13.25" customHeight="1">
      <c r="C144" s="1492"/>
      <c r="F144" s="616"/>
      <c r="G144" s="616"/>
      <c r="H144" s="616"/>
      <c r="I144" s="616"/>
      <c r="J144" s="616"/>
      <c r="K144" s="1491"/>
      <c r="L144" s="616"/>
      <c r="M144" s="616"/>
      <c r="S144" s="432"/>
    </row>
    <row r="145" spans="3:19" ht="13.25" customHeight="1">
      <c r="C145" s="1492"/>
      <c r="F145" s="616"/>
      <c r="G145" s="616"/>
      <c r="H145" s="616"/>
      <c r="I145" s="616"/>
      <c r="J145" s="616"/>
      <c r="K145" s="1491"/>
      <c r="L145" s="616"/>
      <c r="M145" s="616"/>
      <c r="S145" s="432"/>
    </row>
    <row r="146" spans="3:19" ht="13.25" customHeight="1">
      <c r="C146" s="1492"/>
      <c r="F146" s="616"/>
      <c r="G146" s="616"/>
      <c r="H146" s="616"/>
      <c r="I146" s="616"/>
      <c r="J146" s="616"/>
      <c r="K146" s="1491"/>
      <c r="L146" s="616"/>
      <c r="M146" s="616"/>
      <c r="S146" s="432"/>
    </row>
    <row r="147" spans="3:19" ht="13.25" customHeight="1">
      <c r="C147" s="1492"/>
      <c r="F147" s="616"/>
      <c r="G147" s="616"/>
      <c r="H147" s="616"/>
      <c r="I147" s="616"/>
      <c r="J147" s="616"/>
      <c r="K147" s="1491"/>
      <c r="L147" s="616"/>
      <c r="M147" s="616"/>
      <c r="S147" s="432"/>
    </row>
    <row r="148" spans="3:19" ht="13.25" customHeight="1">
      <c r="C148" s="1492"/>
      <c r="F148" s="616"/>
      <c r="G148" s="616"/>
      <c r="H148" s="616"/>
      <c r="I148" s="616"/>
      <c r="J148" s="616"/>
      <c r="K148" s="1491"/>
      <c r="L148" s="616"/>
      <c r="M148" s="616"/>
      <c r="S148" s="432"/>
    </row>
    <row r="149" spans="3:19" ht="13.25" customHeight="1">
      <c r="C149" s="1492"/>
      <c r="F149" s="616"/>
      <c r="G149" s="616"/>
      <c r="H149" s="616"/>
      <c r="I149" s="616"/>
      <c r="J149" s="616"/>
      <c r="K149" s="1491"/>
      <c r="L149" s="616"/>
      <c r="M149" s="616"/>
      <c r="S149" s="432"/>
    </row>
    <row r="150" spans="3:19" ht="13.25" customHeight="1">
      <c r="C150" s="1492"/>
      <c r="F150" s="616"/>
      <c r="G150" s="616"/>
      <c r="H150" s="616"/>
      <c r="I150" s="616"/>
      <c r="J150" s="616"/>
      <c r="K150" s="1491"/>
      <c r="L150" s="616"/>
      <c r="M150" s="616"/>
      <c r="S150" s="432"/>
    </row>
    <row r="151" spans="3:19" ht="13.25" customHeight="1">
      <c r="C151" s="1492"/>
      <c r="F151" s="616"/>
      <c r="G151" s="616"/>
      <c r="H151" s="616"/>
      <c r="I151" s="616"/>
      <c r="J151" s="616"/>
      <c r="K151" s="1491"/>
      <c r="L151" s="616"/>
      <c r="M151" s="616"/>
      <c r="S151" s="432"/>
    </row>
    <row r="152" spans="3:19" ht="13.25" customHeight="1">
      <c r="C152" s="1492"/>
      <c r="F152" s="616"/>
      <c r="G152" s="616"/>
      <c r="H152" s="616"/>
      <c r="I152" s="616"/>
      <c r="J152" s="616"/>
      <c r="K152" s="1491"/>
      <c r="L152" s="616"/>
      <c r="M152" s="616"/>
      <c r="S152" s="432"/>
    </row>
    <row r="153" spans="3:19" ht="13.25" customHeight="1">
      <c r="C153" s="1492"/>
      <c r="F153" s="616"/>
      <c r="G153" s="616"/>
      <c r="H153" s="616"/>
      <c r="I153" s="616"/>
      <c r="J153" s="616"/>
      <c r="K153" s="1491"/>
      <c r="L153" s="616"/>
      <c r="M153" s="616"/>
      <c r="S153" s="432"/>
    </row>
    <row r="154" spans="3:19" ht="13.25" customHeight="1">
      <c r="C154" s="1492"/>
      <c r="F154" s="616"/>
      <c r="G154" s="616"/>
      <c r="H154" s="616"/>
      <c r="I154" s="616"/>
      <c r="J154" s="616"/>
      <c r="K154" s="1491"/>
      <c r="L154" s="616"/>
      <c r="M154" s="616"/>
      <c r="S154" s="432"/>
    </row>
    <row r="155" spans="3:19" ht="13.25" customHeight="1">
      <c r="C155" s="1492"/>
      <c r="F155" s="616"/>
      <c r="G155" s="616"/>
      <c r="H155" s="616"/>
      <c r="I155" s="616"/>
      <c r="J155" s="616"/>
      <c r="K155" s="1491"/>
      <c r="L155" s="616"/>
      <c r="M155" s="616"/>
      <c r="S155" s="432"/>
    </row>
    <row r="156" spans="3:19" ht="13.25" customHeight="1">
      <c r="C156" s="1492"/>
      <c r="F156" s="616"/>
      <c r="G156" s="616"/>
      <c r="H156" s="616"/>
      <c r="I156" s="616"/>
      <c r="J156" s="616"/>
      <c r="K156" s="1491"/>
      <c r="L156" s="616"/>
      <c r="M156" s="616"/>
      <c r="S156" s="432"/>
    </row>
    <row r="157" spans="3:19" ht="13.25" customHeight="1">
      <c r="C157" s="1492"/>
      <c r="F157" s="616"/>
      <c r="G157" s="616"/>
      <c r="H157" s="616"/>
      <c r="I157" s="616"/>
      <c r="J157" s="616"/>
      <c r="K157" s="1491"/>
      <c r="L157" s="616"/>
      <c r="M157" s="616"/>
      <c r="S157" s="432"/>
    </row>
    <row r="158" spans="3:19" ht="13.25" customHeight="1">
      <c r="C158" s="1492"/>
      <c r="F158" s="616"/>
      <c r="G158" s="616"/>
      <c r="H158" s="616"/>
      <c r="I158" s="616"/>
      <c r="J158" s="616"/>
      <c r="K158" s="1491"/>
      <c r="L158" s="616"/>
      <c r="M158" s="616"/>
      <c r="S158" s="432"/>
    </row>
    <row r="159" spans="3:19" ht="13.25" customHeight="1">
      <c r="C159" s="1492"/>
      <c r="F159" s="616"/>
      <c r="G159" s="616"/>
      <c r="H159" s="616"/>
      <c r="I159" s="616"/>
      <c r="J159" s="616"/>
      <c r="K159" s="1491"/>
      <c r="L159" s="616"/>
      <c r="M159" s="616"/>
      <c r="S159" s="432"/>
    </row>
    <row r="160" spans="3:19" ht="13.25" customHeight="1">
      <c r="C160" s="1492"/>
      <c r="F160" s="616"/>
      <c r="G160" s="616"/>
      <c r="H160" s="616"/>
      <c r="I160" s="616"/>
      <c r="J160" s="616"/>
      <c r="K160" s="1491"/>
      <c r="L160" s="616"/>
      <c r="M160" s="616"/>
      <c r="S160" s="432"/>
    </row>
    <row r="161" spans="3:19" ht="13.25" customHeight="1">
      <c r="C161" s="1492"/>
      <c r="F161" s="616"/>
      <c r="G161" s="616"/>
      <c r="H161" s="616"/>
      <c r="I161" s="616"/>
      <c r="J161" s="616"/>
      <c r="K161" s="1491"/>
      <c r="L161" s="616"/>
      <c r="M161" s="616"/>
      <c r="S161" s="432"/>
    </row>
    <row r="162" spans="3:19" ht="13.25" customHeight="1">
      <c r="C162" s="1492"/>
      <c r="F162" s="616"/>
      <c r="G162" s="616"/>
      <c r="H162" s="616"/>
      <c r="I162" s="616"/>
      <c r="J162" s="616"/>
      <c r="K162" s="1491"/>
      <c r="L162" s="616"/>
      <c r="M162" s="616"/>
      <c r="S162" s="432"/>
    </row>
    <row r="163" spans="3:19" ht="13.25" customHeight="1">
      <c r="C163" s="1492"/>
      <c r="F163" s="616"/>
      <c r="G163" s="616"/>
      <c r="H163" s="616"/>
      <c r="I163" s="616"/>
      <c r="J163" s="616"/>
      <c r="K163" s="1491"/>
      <c r="L163" s="616"/>
      <c r="M163" s="616"/>
      <c r="S163" s="432"/>
    </row>
    <row r="164" spans="3:19" ht="13.25" customHeight="1">
      <c r="C164" s="1492"/>
      <c r="F164" s="616"/>
      <c r="G164" s="616"/>
      <c r="H164" s="616"/>
      <c r="I164" s="616"/>
      <c r="J164" s="616"/>
      <c r="K164" s="1491"/>
      <c r="L164" s="616"/>
      <c r="M164" s="616"/>
      <c r="S164" s="432"/>
    </row>
    <row r="165" spans="3:19" ht="13.25" customHeight="1">
      <c r="C165" s="1492"/>
      <c r="F165" s="616"/>
      <c r="G165" s="616"/>
      <c r="H165" s="616"/>
      <c r="I165" s="616"/>
      <c r="J165" s="616"/>
      <c r="K165" s="1491"/>
      <c r="L165" s="616"/>
      <c r="M165" s="616"/>
      <c r="S165" s="432"/>
    </row>
    <row r="166" spans="3:19" ht="13.25" customHeight="1">
      <c r="C166" s="1492"/>
      <c r="F166" s="616"/>
      <c r="G166" s="616"/>
      <c r="H166" s="616"/>
      <c r="I166" s="616"/>
      <c r="J166" s="616"/>
      <c r="K166" s="1491"/>
      <c r="L166" s="616"/>
      <c r="M166" s="616"/>
      <c r="S166" s="432"/>
    </row>
    <row r="167" spans="3:19" ht="13.25" customHeight="1">
      <c r="C167" s="1492"/>
      <c r="F167" s="616"/>
      <c r="G167" s="616"/>
      <c r="H167" s="616"/>
      <c r="I167" s="616"/>
      <c r="J167" s="616"/>
      <c r="K167" s="1491"/>
      <c r="L167" s="616"/>
      <c r="M167" s="616"/>
      <c r="S167" s="432"/>
    </row>
    <row r="168" spans="3:19" ht="13.25" customHeight="1">
      <c r="C168" s="1492"/>
      <c r="F168" s="616"/>
      <c r="G168" s="616"/>
      <c r="H168" s="616"/>
      <c r="I168" s="616"/>
      <c r="J168" s="616"/>
      <c r="K168" s="1491"/>
      <c r="L168" s="616"/>
      <c r="M168" s="616"/>
      <c r="S168" s="432"/>
    </row>
    <row r="169" spans="3:19" ht="13.25" customHeight="1">
      <c r="C169" s="1492"/>
      <c r="F169" s="616"/>
      <c r="G169" s="616"/>
      <c r="H169" s="616"/>
      <c r="I169" s="616"/>
      <c r="J169" s="616"/>
      <c r="K169" s="1491"/>
      <c r="L169" s="616"/>
      <c r="M169" s="616"/>
      <c r="S169" s="432"/>
    </row>
    <row r="170" spans="3:19" ht="13.25" customHeight="1">
      <c r="C170" s="1492"/>
      <c r="F170" s="616"/>
      <c r="G170" s="616"/>
      <c r="H170" s="616"/>
      <c r="I170" s="616"/>
      <c r="J170" s="616"/>
      <c r="K170" s="1491"/>
      <c r="L170" s="616"/>
      <c r="M170" s="616"/>
      <c r="S170" s="432"/>
    </row>
    <row r="171" spans="3:19" ht="13.25" customHeight="1">
      <c r="C171" s="1492"/>
      <c r="F171" s="616"/>
      <c r="G171" s="616"/>
      <c r="H171" s="616"/>
      <c r="I171" s="616"/>
      <c r="J171" s="616"/>
      <c r="K171" s="1491"/>
      <c r="L171" s="616"/>
      <c r="M171" s="616"/>
      <c r="S171" s="432"/>
    </row>
    <row r="172" spans="3:19" ht="13.25" customHeight="1">
      <c r="C172" s="1492"/>
      <c r="F172" s="616"/>
      <c r="G172" s="616"/>
      <c r="H172" s="616"/>
      <c r="I172" s="616"/>
      <c r="J172" s="616"/>
      <c r="K172" s="1491"/>
      <c r="L172" s="616"/>
      <c r="M172" s="616"/>
      <c r="S172" s="432"/>
    </row>
    <row r="173" spans="3:19" ht="13.25" customHeight="1">
      <c r="C173" s="1492"/>
      <c r="F173" s="616"/>
      <c r="G173" s="616"/>
      <c r="H173" s="616"/>
      <c r="I173" s="616"/>
      <c r="J173" s="616"/>
      <c r="K173" s="1491"/>
      <c r="L173" s="616"/>
      <c r="M173" s="616"/>
      <c r="S173" s="432"/>
    </row>
    <row r="174" spans="3:19" ht="13.25" customHeight="1">
      <c r="C174" s="1492"/>
      <c r="F174" s="616"/>
      <c r="G174" s="616"/>
      <c r="H174" s="616"/>
      <c r="I174" s="616"/>
      <c r="J174" s="616"/>
      <c r="K174" s="1491"/>
      <c r="L174" s="616"/>
      <c r="M174" s="616"/>
      <c r="S174" s="432"/>
    </row>
    <row r="175" spans="3:19" ht="13.25" customHeight="1">
      <c r="C175" s="1492"/>
      <c r="F175" s="616"/>
      <c r="G175" s="616"/>
      <c r="H175" s="616"/>
      <c r="I175" s="616"/>
      <c r="J175" s="616"/>
      <c r="K175" s="1491"/>
      <c r="L175" s="616"/>
      <c r="M175" s="616"/>
      <c r="S175" s="432"/>
    </row>
    <row r="176" spans="3:19" ht="13.25" customHeight="1">
      <c r="C176" s="1492"/>
      <c r="F176" s="616"/>
      <c r="G176" s="616"/>
      <c r="H176" s="616"/>
      <c r="I176" s="616"/>
      <c r="J176" s="616"/>
      <c r="K176" s="1491"/>
      <c r="L176" s="616"/>
      <c r="M176" s="616"/>
      <c r="S176" s="432"/>
    </row>
    <row r="177" spans="3:19" ht="13.25" customHeight="1">
      <c r="C177" s="1492"/>
      <c r="F177" s="616"/>
      <c r="G177" s="616"/>
      <c r="H177" s="616"/>
      <c r="I177" s="616"/>
      <c r="J177" s="616"/>
      <c r="K177" s="1491"/>
      <c r="L177" s="616"/>
      <c r="M177" s="616"/>
      <c r="S177" s="432"/>
    </row>
    <row r="178" spans="3:19" ht="13.25" customHeight="1">
      <c r="C178" s="1492"/>
      <c r="F178" s="616"/>
      <c r="G178" s="616"/>
      <c r="H178" s="616"/>
      <c r="I178" s="616"/>
      <c r="J178" s="616"/>
      <c r="K178" s="1491"/>
      <c r="L178" s="616"/>
      <c r="M178" s="616"/>
      <c r="S178" s="432"/>
    </row>
    <row r="179" spans="3:19" ht="13.25" customHeight="1">
      <c r="C179" s="1492"/>
      <c r="F179" s="616"/>
      <c r="G179" s="616"/>
      <c r="H179" s="616"/>
      <c r="I179" s="616"/>
      <c r="J179" s="616"/>
      <c r="K179" s="1491"/>
      <c r="L179" s="616"/>
      <c r="M179" s="616"/>
      <c r="S179" s="432"/>
    </row>
    <row r="180" spans="3:19" ht="13.25" customHeight="1">
      <c r="C180" s="1492"/>
      <c r="F180" s="616"/>
      <c r="G180" s="616"/>
      <c r="H180" s="616"/>
      <c r="I180" s="616"/>
      <c r="J180" s="616"/>
      <c r="K180" s="1491"/>
      <c r="L180" s="616"/>
      <c r="M180" s="616"/>
      <c r="S180" s="432"/>
    </row>
    <row r="181" spans="3:19" ht="13.25" customHeight="1">
      <c r="C181" s="1492"/>
      <c r="F181" s="616"/>
      <c r="G181" s="616"/>
      <c r="H181" s="616"/>
      <c r="I181" s="616"/>
      <c r="J181" s="616"/>
      <c r="K181" s="1491"/>
      <c r="L181" s="616"/>
      <c r="M181" s="616"/>
      <c r="S181" s="432"/>
    </row>
    <row r="182" spans="3:19" ht="13.25" customHeight="1">
      <c r="C182" s="1492"/>
      <c r="F182" s="616"/>
      <c r="G182" s="616"/>
      <c r="H182" s="616"/>
      <c r="I182" s="616"/>
      <c r="J182" s="616"/>
      <c r="K182" s="1491"/>
      <c r="L182" s="616"/>
      <c r="M182" s="616"/>
      <c r="S182" s="432"/>
    </row>
    <row r="183" spans="3:19" ht="13.25" customHeight="1">
      <c r="C183" s="1492"/>
      <c r="F183" s="616"/>
      <c r="G183" s="616"/>
      <c r="H183" s="616"/>
      <c r="I183" s="616"/>
      <c r="J183" s="616"/>
      <c r="K183" s="1491"/>
      <c r="L183" s="616"/>
      <c r="M183" s="616"/>
      <c r="S183" s="432"/>
    </row>
    <row r="184" spans="3:19" ht="13.25" customHeight="1">
      <c r="C184" s="1492"/>
      <c r="F184" s="616"/>
      <c r="G184" s="616"/>
      <c r="H184" s="616"/>
      <c r="I184" s="616"/>
      <c r="J184" s="616"/>
      <c r="K184" s="1491"/>
      <c r="L184" s="616"/>
      <c r="M184" s="616"/>
      <c r="S184" s="432"/>
    </row>
    <row r="185" spans="3:19" ht="13.25" customHeight="1">
      <c r="C185" s="1492"/>
      <c r="F185" s="616"/>
      <c r="G185" s="616"/>
      <c r="H185" s="616"/>
      <c r="I185" s="616"/>
      <c r="J185" s="616"/>
      <c r="K185" s="1491"/>
      <c r="L185" s="616"/>
      <c r="M185" s="616"/>
      <c r="S185" s="432"/>
    </row>
    <row r="186" spans="3:19" ht="13.25" customHeight="1">
      <c r="C186" s="1492"/>
      <c r="F186" s="616"/>
      <c r="G186" s="616"/>
      <c r="H186" s="616"/>
      <c r="I186" s="616"/>
      <c r="J186" s="616"/>
      <c r="K186" s="1491"/>
      <c r="L186" s="616"/>
      <c r="M186" s="616"/>
      <c r="S186" s="432"/>
    </row>
    <row r="187" spans="3:19" ht="13.25" customHeight="1">
      <c r="C187" s="1492" t="s">
        <v>233</v>
      </c>
      <c r="F187" s="616"/>
      <c r="G187" s="616"/>
      <c r="H187" s="616"/>
      <c r="I187" s="616"/>
      <c r="J187" s="616"/>
      <c r="K187" s="1491"/>
      <c r="L187" s="616"/>
      <c r="M187" s="616"/>
      <c r="S187" s="432"/>
    </row>
    <row r="188" spans="3:19" ht="13.25" customHeight="1">
      <c r="C188" s="1492"/>
      <c r="F188" s="616"/>
      <c r="G188" s="616"/>
      <c r="H188" s="616"/>
      <c r="I188" s="616"/>
      <c r="J188" s="616"/>
      <c r="K188" s="1491"/>
      <c r="L188" s="616"/>
      <c r="M188" s="616"/>
      <c r="S188" s="432"/>
    </row>
    <row r="189" spans="3:19" ht="13.25" customHeight="1">
      <c r="C189" s="1492"/>
      <c r="F189" s="616"/>
      <c r="G189" s="616"/>
      <c r="H189" s="616"/>
      <c r="I189" s="616"/>
      <c r="J189" s="616"/>
      <c r="K189" s="1491"/>
      <c r="L189" s="616"/>
      <c r="M189" s="616"/>
      <c r="S189" s="432"/>
    </row>
    <row r="190" spans="3:19" ht="13.25" customHeight="1">
      <c r="C190" s="1492"/>
      <c r="F190" s="616"/>
      <c r="G190" s="616"/>
      <c r="H190" s="616"/>
      <c r="I190" s="616"/>
      <c r="J190" s="616"/>
      <c r="K190" s="1491"/>
      <c r="L190" s="616"/>
      <c r="M190" s="616"/>
      <c r="S190" s="432"/>
    </row>
    <row r="191" spans="3:19" ht="13.25" customHeight="1">
      <c r="C191" s="1492"/>
      <c r="F191" s="616"/>
      <c r="G191" s="616"/>
      <c r="H191" s="616"/>
      <c r="I191" s="616"/>
      <c r="J191" s="616"/>
      <c r="K191" s="1491"/>
      <c r="L191" s="616"/>
      <c r="M191" s="616"/>
      <c r="S191" s="432"/>
    </row>
    <row r="192" spans="3:19" ht="13.25" customHeight="1">
      <c r="C192" s="1492"/>
      <c r="F192" s="616"/>
      <c r="G192" s="616"/>
      <c r="H192" s="616"/>
      <c r="I192" s="616"/>
      <c r="J192" s="616"/>
      <c r="K192" s="1491"/>
      <c r="L192" s="616"/>
      <c r="M192" s="616"/>
      <c r="S192" s="432"/>
    </row>
    <row r="193" spans="3:19" ht="13.25" customHeight="1">
      <c r="C193" s="1492"/>
      <c r="F193" s="560"/>
      <c r="G193" s="560"/>
      <c r="H193" s="560"/>
      <c r="I193" s="560"/>
      <c r="J193" s="560"/>
      <c r="K193" s="1491"/>
      <c r="L193" s="560"/>
      <c r="M193" s="560"/>
      <c r="S193" s="432"/>
    </row>
    <row r="194" spans="3:19" ht="13.25" customHeight="1">
      <c r="C194" s="1492"/>
      <c r="F194" s="560"/>
      <c r="G194" s="560"/>
      <c r="H194" s="560"/>
      <c r="I194" s="560"/>
      <c r="J194" s="560"/>
      <c r="K194" s="1491"/>
      <c r="L194" s="560"/>
      <c r="M194" s="560"/>
      <c r="S194" s="432"/>
    </row>
    <row r="195" spans="3:19" ht="13.25" customHeight="1">
      <c r="C195" s="1492"/>
      <c r="F195" s="560"/>
      <c r="G195" s="560"/>
      <c r="H195" s="560"/>
      <c r="I195" s="560"/>
      <c r="J195" s="560"/>
      <c r="K195" s="1491"/>
      <c r="L195" s="560"/>
      <c r="M195" s="560"/>
      <c r="S195" s="432"/>
    </row>
    <row r="196" spans="3:19" ht="13.25" customHeight="1">
      <c r="C196" s="1492"/>
      <c r="F196" s="560"/>
      <c r="G196" s="560"/>
      <c r="H196" s="560"/>
      <c r="I196" s="560"/>
      <c r="J196" s="560"/>
      <c r="K196" s="1491"/>
      <c r="L196" s="560"/>
      <c r="M196" s="560"/>
      <c r="S196" s="432"/>
    </row>
    <row r="197" spans="3:19" ht="13.25" customHeight="1">
      <c r="C197" s="1492"/>
      <c r="F197" s="560"/>
      <c r="G197" s="560"/>
      <c r="H197" s="560"/>
      <c r="I197" s="560"/>
      <c r="J197" s="560"/>
      <c r="K197" s="1491"/>
      <c r="L197" s="560"/>
      <c r="M197" s="560"/>
      <c r="S197" s="432"/>
    </row>
    <row r="198" spans="3:19" ht="13.25" customHeight="1">
      <c r="C198" s="1492"/>
      <c r="F198" s="560"/>
      <c r="G198" s="560"/>
      <c r="H198" s="560"/>
      <c r="I198" s="560"/>
      <c r="J198" s="560"/>
      <c r="K198" s="1491"/>
      <c r="L198" s="560"/>
      <c r="M198" s="560"/>
      <c r="S198" s="432"/>
    </row>
    <row r="199" spans="3:19" ht="13.25" customHeight="1">
      <c r="C199" s="1492"/>
      <c r="F199" s="560"/>
      <c r="G199" s="560"/>
      <c r="H199" s="560"/>
      <c r="I199" s="560"/>
      <c r="J199" s="560"/>
      <c r="K199" s="1491"/>
      <c r="L199" s="560"/>
      <c r="M199" s="560"/>
      <c r="S199" s="432"/>
    </row>
    <row r="200" spans="3:19" ht="13.25" customHeight="1">
      <c r="C200" s="1492"/>
      <c r="F200" s="560"/>
      <c r="G200" s="560"/>
      <c r="H200" s="560"/>
      <c r="I200" s="560"/>
      <c r="J200" s="560"/>
      <c r="K200" s="1491"/>
      <c r="L200" s="560"/>
      <c r="M200" s="560"/>
      <c r="S200" s="432"/>
    </row>
    <row r="201" spans="3:19" ht="13.25" customHeight="1">
      <c r="C201" s="1492"/>
      <c r="F201" s="560"/>
      <c r="G201" s="560"/>
      <c r="H201" s="560"/>
      <c r="I201" s="560"/>
      <c r="J201" s="560"/>
      <c r="K201" s="1491"/>
      <c r="L201" s="560"/>
      <c r="M201" s="560"/>
      <c r="S201" s="432"/>
    </row>
    <row r="202" spans="3:19" ht="13.25" customHeight="1">
      <c r="C202" s="1492"/>
      <c r="F202" s="560"/>
      <c r="G202" s="560"/>
      <c r="H202" s="560"/>
      <c r="I202" s="560"/>
      <c r="J202" s="560"/>
      <c r="K202" s="1491"/>
      <c r="L202" s="560"/>
      <c r="M202" s="560"/>
      <c r="S202" s="432"/>
    </row>
    <row r="203" spans="3:19" ht="13.25" customHeight="1">
      <c r="C203" s="1492"/>
      <c r="F203" s="560"/>
      <c r="G203" s="560"/>
      <c r="H203" s="560"/>
      <c r="I203" s="560"/>
      <c r="J203" s="560"/>
      <c r="K203" s="1491"/>
      <c r="L203" s="560"/>
      <c r="M203" s="560"/>
      <c r="S203" s="432"/>
    </row>
    <row r="204" spans="3:19" ht="13.25" customHeight="1">
      <c r="C204" s="1492"/>
      <c r="F204" s="560"/>
      <c r="G204" s="560"/>
      <c r="H204" s="560"/>
      <c r="I204" s="560"/>
      <c r="J204" s="560"/>
      <c r="K204" s="1491"/>
      <c r="L204" s="560"/>
      <c r="M204" s="560"/>
      <c r="S204" s="432"/>
    </row>
    <row r="205" spans="3:19" ht="13.25" customHeight="1">
      <c r="C205" s="1492"/>
      <c r="F205" s="560"/>
      <c r="G205" s="560"/>
      <c r="H205" s="560"/>
      <c r="I205" s="560"/>
      <c r="J205" s="560"/>
      <c r="K205" s="1491"/>
      <c r="L205" s="560"/>
      <c r="M205" s="560"/>
      <c r="S205" s="432"/>
    </row>
    <row r="206" spans="3:19" ht="13.25" customHeight="1">
      <c r="C206" s="1492"/>
      <c r="F206" s="560"/>
      <c r="G206" s="560"/>
      <c r="H206" s="560"/>
      <c r="I206" s="560"/>
      <c r="J206" s="560"/>
      <c r="K206" s="1491"/>
      <c r="L206" s="560"/>
      <c r="M206" s="560"/>
      <c r="S206" s="432"/>
    </row>
    <row r="207" spans="3:19" ht="13.25" customHeight="1">
      <c r="C207" s="1492"/>
      <c r="F207" s="560"/>
      <c r="G207" s="560"/>
      <c r="H207" s="560"/>
      <c r="I207" s="560"/>
      <c r="J207" s="560"/>
      <c r="K207" s="1491"/>
      <c r="L207" s="560"/>
      <c r="M207" s="560"/>
      <c r="S207" s="432"/>
    </row>
    <row r="208" spans="3:19" ht="13.25" customHeight="1">
      <c r="C208" s="1492"/>
      <c r="F208" s="560"/>
      <c r="G208" s="560"/>
      <c r="H208" s="560"/>
      <c r="I208" s="560"/>
      <c r="J208" s="560"/>
      <c r="K208" s="1491"/>
      <c r="L208" s="560"/>
      <c r="M208" s="560"/>
      <c r="S208" s="432"/>
    </row>
    <row r="209" spans="3:19" ht="13.25" customHeight="1">
      <c r="C209" s="1492"/>
      <c r="F209" s="560"/>
      <c r="G209" s="560"/>
      <c r="H209" s="560"/>
      <c r="I209" s="560"/>
      <c r="J209" s="560"/>
      <c r="K209" s="1491"/>
      <c r="L209" s="560"/>
      <c r="M209" s="560"/>
      <c r="S209" s="432"/>
    </row>
    <row r="210" spans="3:19" ht="13.25" customHeight="1">
      <c r="C210" s="1492"/>
      <c r="F210" s="560"/>
      <c r="G210" s="560"/>
      <c r="H210" s="560"/>
      <c r="I210" s="560"/>
      <c r="J210" s="560"/>
      <c r="K210" s="1491"/>
      <c r="L210" s="560"/>
      <c r="M210" s="560"/>
      <c r="S210" s="432"/>
    </row>
    <row r="211" spans="3:19" ht="13.25" customHeight="1">
      <c r="C211" s="1492"/>
      <c r="F211" s="560"/>
      <c r="G211" s="560"/>
      <c r="H211" s="560"/>
      <c r="I211" s="560"/>
      <c r="J211" s="560"/>
      <c r="K211" s="1491"/>
      <c r="L211" s="560"/>
      <c r="M211" s="560"/>
      <c r="S211" s="432"/>
    </row>
    <row r="212" spans="3:19" ht="13.25" customHeight="1">
      <c r="C212" s="1492"/>
      <c r="F212" s="560"/>
      <c r="G212" s="560"/>
      <c r="H212" s="560"/>
      <c r="I212" s="560"/>
      <c r="J212" s="560"/>
      <c r="K212" s="1491"/>
      <c r="L212" s="560"/>
      <c r="M212" s="560"/>
      <c r="S212" s="432"/>
    </row>
    <row r="213" spans="3:19" ht="13.25" customHeight="1">
      <c r="C213" s="1492"/>
      <c r="F213" s="560"/>
      <c r="G213" s="560"/>
      <c r="H213" s="560"/>
      <c r="I213" s="560"/>
      <c r="J213" s="560"/>
      <c r="K213" s="1491"/>
      <c r="L213" s="560"/>
      <c r="M213" s="560"/>
      <c r="S213" s="432"/>
    </row>
    <row r="214" spans="3:19" ht="13.25" customHeight="1">
      <c r="C214" s="1492"/>
      <c r="F214" s="560"/>
      <c r="G214" s="560"/>
      <c r="H214" s="560"/>
      <c r="I214" s="560"/>
      <c r="J214" s="560"/>
      <c r="K214" s="1491"/>
      <c r="L214" s="560"/>
      <c r="M214" s="560"/>
      <c r="S214" s="432"/>
    </row>
    <row r="215" spans="3:19" ht="13.25" customHeight="1">
      <c r="C215" s="1492"/>
      <c r="F215" s="560"/>
      <c r="G215" s="560"/>
      <c r="H215" s="560"/>
      <c r="I215" s="560"/>
      <c r="J215" s="560"/>
      <c r="K215" s="1491"/>
      <c r="L215" s="560"/>
      <c r="M215" s="560"/>
      <c r="S215" s="432"/>
    </row>
    <row r="216" spans="3:19" ht="13.25" customHeight="1">
      <c r="C216" s="1492"/>
      <c r="F216" s="560"/>
      <c r="G216" s="560"/>
      <c r="H216" s="560"/>
      <c r="I216" s="560"/>
      <c r="J216" s="560"/>
      <c r="K216" s="1491"/>
      <c r="L216" s="560"/>
      <c r="M216" s="560"/>
      <c r="S216" s="432"/>
    </row>
    <row r="217" spans="3:19" ht="13.25" customHeight="1">
      <c r="C217" s="1492"/>
      <c r="F217" s="560"/>
      <c r="G217" s="560"/>
      <c r="H217" s="560"/>
      <c r="I217" s="560"/>
      <c r="J217" s="560"/>
      <c r="K217" s="1491"/>
      <c r="L217" s="560"/>
      <c r="M217" s="560"/>
      <c r="S217" s="432"/>
    </row>
    <row r="218" spans="3:19" ht="13.25" customHeight="1">
      <c r="C218" s="1492"/>
      <c r="F218" s="560"/>
      <c r="G218" s="560"/>
      <c r="H218" s="560"/>
      <c r="I218" s="560"/>
      <c r="J218" s="560"/>
      <c r="K218" s="1491"/>
      <c r="L218" s="560"/>
      <c r="M218" s="560"/>
      <c r="S218" s="432"/>
    </row>
    <row r="219" spans="3:19" ht="13.25" customHeight="1">
      <c r="C219" s="1492"/>
      <c r="F219" s="560"/>
      <c r="G219" s="560"/>
      <c r="H219" s="560"/>
      <c r="I219" s="560"/>
      <c r="J219" s="560"/>
      <c r="K219" s="1491"/>
      <c r="L219" s="560"/>
      <c r="M219" s="560"/>
      <c r="S219" s="432"/>
    </row>
    <row r="220" spans="3:19" ht="13.25" customHeight="1">
      <c r="C220" s="1492"/>
      <c r="F220" s="560"/>
      <c r="G220" s="560"/>
      <c r="H220" s="560"/>
      <c r="I220" s="560"/>
      <c r="J220" s="560"/>
      <c r="K220" s="1491"/>
      <c r="L220" s="560"/>
      <c r="M220" s="560"/>
      <c r="S220" s="432"/>
    </row>
    <row r="221" spans="3:19" ht="13.25" customHeight="1">
      <c r="C221" s="1492"/>
      <c r="F221" s="560"/>
      <c r="G221" s="560"/>
      <c r="H221" s="560"/>
      <c r="I221" s="560"/>
      <c r="J221" s="560"/>
      <c r="K221" s="1491"/>
      <c r="L221" s="560"/>
      <c r="M221" s="560"/>
      <c r="S221" s="432"/>
    </row>
    <row r="222" spans="3:19" ht="13.25" customHeight="1">
      <c r="C222" s="1492"/>
      <c r="F222" s="560"/>
      <c r="G222" s="560"/>
      <c r="H222" s="560"/>
      <c r="I222" s="560"/>
      <c r="J222" s="560"/>
      <c r="K222" s="1491"/>
      <c r="L222" s="560"/>
      <c r="M222" s="560"/>
      <c r="S222" s="432"/>
    </row>
    <row r="223" spans="3:19" ht="13.25" customHeight="1">
      <c r="C223" s="1492"/>
      <c r="F223" s="560"/>
      <c r="G223" s="560"/>
      <c r="H223" s="560"/>
      <c r="I223" s="560"/>
      <c r="J223" s="560"/>
      <c r="K223" s="1491"/>
      <c r="L223" s="560"/>
      <c r="M223" s="560"/>
      <c r="S223" s="432"/>
    </row>
    <row r="224" spans="3:19" ht="13.25" customHeight="1">
      <c r="C224" s="1492"/>
      <c r="F224" s="560"/>
      <c r="G224" s="560"/>
      <c r="H224" s="560"/>
      <c r="I224" s="560"/>
      <c r="J224" s="560"/>
      <c r="K224" s="1491"/>
      <c r="L224" s="560"/>
      <c r="M224" s="560"/>
      <c r="S224" s="432"/>
    </row>
    <row r="225" spans="3:19" ht="13.25" customHeight="1">
      <c r="C225" s="1492"/>
      <c r="F225" s="560"/>
      <c r="G225" s="560"/>
      <c r="H225" s="560"/>
      <c r="I225" s="560"/>
      <c r="J225" s="560"/>
      <c r="K225" s="1491"/>
      <c r="L225" s="560"/>
      <c r="M225" s="560"/>
      <c r="S225" s="432"/>
    </row>
    <row r="226" spans="3:19" ht="13.25" customHeight="1">
      <c r="C226" s="1492"/>
      <c r="F226" s="560"/>
      <c r="G226" s="560"/>
      <c r="H226" s="560"/>
      <c r="I226" s="560"/>
      <c r="J226" s="560"/>
      <c r="K226" s="1491"/>
      <c r="L226" s="560"/>
      <c r="M226" s="560"/>
      <c r="S226" s="432"/>
    </row>
    <row r="227" spans="3:19" ht="13.25" customHeight="1">
      <c r="C227" s="1492"/>
      <c r="F227" s="560"/>
      <c r="G227" s="560"/>
      <c r="H227" s="560"/>
      <c r="I227" s="560"/>
      <c r="J227" s="560"/>
      <c r="K227" s="1491"/>
      <c r="L227" s="560"/>
      <c r="M227" s="560"/>
      <c r="S227" s="432"/>
    </row>
    <row r="228" spans="3:19" ht="13.25" customHeight="1">
      <c r="C228" s="1492"/>
      <c r="F228" s="560"/>
      <c r="G228" s="560"/>
      <c r="H228" s="560"/>
      <c r="I228" s="560"/>
      <c r="J228" s="560"/>
      <c r="K228" s="1491"/>
      <c r="L228" s="560"/>
      <c r="M228" s="560"/>
      <c r="S228" s="432"/>
    </row>
    <row r="229" spans="3:19" ht="13.25" customHeight="1">
      <c r="C229" s="1492"/>
      <c r="F229" s="560"/>
      <c r="G229" s="560"/>
      <c r="H229" s="560"/>
      <c r="I229" s="560"/>
      <c r="J229" s="560"/>
      <c r="K229" s="1491"/>
      <c r="L229" s="560"/>
      <c r="M229" s="560"/>
      <c r="S229" s="432"/>
    </row>
    <row r="230" spans="3:19" ht="13.25" customHeight="1">
      <c r="C230" s="1492"/>
      <c r="F230" s="560"/>
      <c r="G230" s="560"/>
      <c r="H230" s="560"/>
      <c r="I230" s="560"/>
      <c r="J230" s="560"/>
      <c r="K230" s="1491"/>
      <c r="L230" s="560"/>
      <c r="M230" s="560"/>
      <c r="S230" s="432"/>
    </row>
    <row r="231" spans="3:19" ht="13.25" customHeight="1">
      <c r="C231" s="1492"/>
      <c r="F231" s="560"/>
      <c r="G231" s="560"/>
      <c r="H231" s="560"/>
      <c r="I231" s="560"/>
      <c r="J231" s="560"/>
      <c r="K231" s="1491"/>
      <c r="L231" s="560"/>
      <c r="M231" s="560"/>
      <c r="S231" s="432"/>
    </row>
    <row r="232" spans="3:19" ht="13.25" customHeight="1">
      <c r="C232" s="1492"/>
      <c r="F232" s="560"/>
      <c r="G232" s="560"/>
      <c r="H232" s="560"/>
      <c r="I232" s="560"/>
      <c r="J232" s="560"/>
      <c r="K232" s="1491"/>
      <c r="L232" s="560"/>
      <c r="M232" s="560"/>
      <c r="S232" s="432"/>
    </row>
    <row r="233" spans="3:19" ht="13.25" customHeight="1">
      <c r="C233" s="1492"/>
      <c r="F233" s="560"/>
      <c r="G233" s="560"/>
      <c r="H233" s="560"/>
      <c r="I233" s="560"/>
      <c r="J233" s="560"/>
      <c r="K233" s="1491"/>
      <c r="L233" s="560"/>
      <c r="M233" s="560"/>
      <c r="S233" s="432"/>
    </row>
    <row r="234" spans="3:19" ht="13.25" customHeight="1">
      <c r="C234" s="1492"/>
      <c r="F234" s="560"/>
      <c r="G234" s="560"/>
      <c r="H234" s="560"/>
      <c r="I234" s="560"/>
      <c r="J234" s="560"/>
      <c r="K234" s="1491"/>
      <c r="L234" s="560"/>
      <c r="M234" s="560"/>
      <c r="S234" s="432"/>
    </row>
    <row r="235" spans="3:19" ht="13.25" customHeight="1">
      <c r="C235" s="1492"/>
      <c r="F235" s="560"/>
      <c r="G235" s="560"/>
      <c r="H235" s="560"/>
      <c r="I235" s="560"/>
      <c r="J235" s="560"/>
      <c r="K235" s="1491"/>
      <c r="L235" s="560"/>
      <c r="M235" s="560"/>
      <c r="S235" s="432"/>
    </row>
    <row r="236" spans="3:19" ht="13.25" customHeight="1">
      <c r="C236" s="1492"/>
      <c r="F236" s="560"/>
      <c r="G236" s="560"/>
      <c r="H236" s="560"/>
      <c r="I236" s="560"/>
      <c r="J236" s="560"/>
      <c r="K236" s="1491"/>
      <c r="L236" s="560"/>
      <c r="M236" s="560"/>
      <c r="S236" s="432"/>
    </row>
    <row r="237" spans="3:19" ht="13.25" customHeight="1">
      <c r="C237" s="1492"/>
      <c r="F237" s="560"/>
      <c r="G237" s="560"/>
      <c r="H237" s="560"/>
      <c r="I237" s="560"/>
      <c r="J237" s="560"/>
      <c r="K237" s="1491"/>
      <c r="L237" s="560"/>
      <c r="M237" s="560"/>
      <c r="S237" s="432"/>
    </row>
    <row r="238" spans="3:19" ht="13.25" customHeight="1">
      <c r="C238" s="1492"/>
      <c r="F238" s="560"/>
      <c r="G238" s="560"/>
      <c r="H238" s="560"/>
      <c r="I238" s="560"/>
      <c r="J238" s="560"/>
      <c r="K238" s="1491"/>
      <c r="L238" s="560"/>
      <c r="M238" s="560"/>
      <c r="S238" s="432"/>
    </row>
    <row r="239" spans="3:19" ht="13.25" customHeight="1">
      <c r="C239" s="1492"/>
      <c r="F239" s="560"/>
      <c r="G239" s="560"/>
      <c r="H239" s="560"/>
      <c r="I239" s="560"/>
      <c r="J239" s="560"/>
      <c r="K239" s="1491"/>
      <c r="L239" s="560"/>
      <c r="M239" s="560"/>
      <c r="S239" s="432"/>
    </row>
    <row r="240" spans="3:19" ht="13.25" customHeight="1">
      <c r="C240" s="1492"/>
      <c r="F240" s="560"/>
      <c r="G240" s="560"/>
      <c r="H240" s="560"/>
      <c r="I240" s="560"/>
      <c r="J240" s="560"/>
      <c r="K240" s="1491"/>
      <c r="L240" s="560"/>
      <c r="M240" s="560"/>
      <c r="S240" s="432"/>
    </row>
    <row r="241" spans="3:19" ht="13.25" customHeight="1">
      <c r="C241" s="1492"/>
      <c r="F241" s="560"/>
      <c r="G241" s="560"/>
      <c r="H241" s="560"/>
      <c r="I241" s="560"/>
      <c r="J241" s="560"/>
      <c r="K241" s="1491"/>
      <c r="L241" s="560"/>
      <c r="M241" s="560"/>
      <c r="S241" s="432"/>
    </row>
    <row r="242" spans="3:19" ht="13.25" customHeight="1">
      <c r="C242" s="1492"/>
      <c r="F242" s="560"/>
      <c r="G242" s="560"/>
      <c r="H242" s="560"/>
      <c r="I242" s="560"/>
      <c r="J242" s="560"/>
      <c r="K242" s="1491"/>
      <c r="L242" s="560"/>
      <c r="M242" s="560"/>
      <c r="S242" s="432"/>
    </row>
    <row r="243" spans="3:19" ht="13.25" customHeight="1">
      <c r="C243" s="1492"/>
      <c r="F243" s="560"/>
      <c r="G243" s="560"/>
      <c r="H243" s="560"/>
      <c r="I243" s="560"/>
      <c r="J243" s="560"/>
      <c r="K243" s="1491"/>
      <c r="L243" s="560"/>
      <c r="M243" s="560"/>
      <c r="S243" s="432"/>
    </row>
    <row r="244" spans="3:19" ht="13.25" customHeight="1">
      <c r="C244" s="1492"/>
      <c r="F244" s="560"/>
      <c r="G244" s="560"/>
      <c r="H244" s="560"/>
      <c r="I244" s="560"/>
      <c r="J244" s="560"/>
      <c r="K244" s="1491"/>
      <c r="L244" s="560"/>
      <c r="M244" s="560"/>
      <c r="S244" s="432"/>
    </row>
    <row r="245" spans="3:19" ht="13.25" customHeight="1">
      <c r="C245" s="1492"/>
      <c r="F245" s="560"/>
      <c r="G245" s="560"/>
      <c r="H245" s="560"/>
      <c r="I245" s="560"/>
      <c r="J245" s="560"/>
      <c r="K245" s="1491"/>
      <c r="L245" s="560"/>
      <c r="M245" s="560"/>
      <c r="S245" s="432"/>
    </row>
    <row r="246" spans="3:19" ht="13.25" customHeight="1">
      <c r="C246" s="1492"/>
      <c r="K246" s="609"/>
      <c r="S246" s="432"/>
    </row>
    <row r="247" spans="3:19" ht="13.25" customHeight="1">
      <c r="C247" s="1492"/>
      <c r="K247" s="609"/>
      <c r="S247" s="432"/>
    </row>
    <row r="248" spans="3:19" ht="13.25" customHeight="1">
      <c r="C248" s="1492"/>
      <c r="K248" s="609"/>
      <c r="S248" s="432"/>
    </row>
    <row r="249" spans="3:19" ht="13.25" customHeight="1">
      <c r="C249" s="1492"/>
      <c r="K249" s="609"/>
      <c r="S249" s="432"/>
    </row>
    <row r="250" spans="3:19" ht="13.25" customHeight="1">
      <c r="C250" s="1492"/>
      <c r="K250" s="609"/>
      <c r="S250" s="432"/>
    </row>
    <row r="251" spans="3:19" ht="13.25" customHeight="1">
      <c r="C251" s="1492"/>
      <c r="K251" s="609"/>
      <c r="S251" s="432"/>
    </row>
    <row r="252" spans="3:19" ht="13.25" customHeight="1">
      <c r="C252" s="1492"/>
      <c r="K252" s="609"/>
      <c r="S252" s="432"/>
    </row>
    <row r="253" spans="3:19" ht="13.25" customHeight="1">
      <c r="C253" s="1492"/>
      <c r="K253" s="609"/>
      <c r="S253" s="432"/>
    </row>
    <row r="254" spans="3:19" ht="13.25" customHeight="1">
      <c r="C254" s="1492"/>
      <c r="K254" s="609"/>
      <c r="S254" s="432"/>
    </row>
    <row r="255" spans="3:19" ht="13.25" customHeight="1">
      <c r="C255" s="1492"/>
      <c r="K255" s="609"/>
      <c r="S255" s="432"/>
    </row>
    <row r="256" spans="3:19" ht="13.25" customHeight="1">
      <c r="C256" s="1492"/>
      <c r="K256" s="609"/>
      <c r="S256" s="432"/>
    </row>
    <row r="257" spans="3:19" ht="13.25" customHeight="1">
      <c r="C257" s="1492"/>
      <c r="K257" s="609"/>
      <c r="S257" s="432"/>
    </row>
    <row r="258" spans="3:19" ht="13.25" customHeight="1">
      <c r="C258" s="1492"/>
      <c r="K258" s="609"/>
      <c r="S258" s="432"/>
    </row>
    <row r="259" spans="3:19" ht="13.25" customHeight="1">
      <c r="C259" s="1492"/>
      <c r="K259" s="609"/>
      <c r="S259" s="432"/>
    </row>
    <row r="260" spans="3:19" ht="13.25" customHeight="1">
      <c r="C260" s="1492"/>
      <c r="K260" s="609"/>
      <c r="S260" s="432"/>
    </row>
    <row r="261" spans="3:19" ht="13.25" customHeight="1">
      <c r="C261" s="1492"/>
      <c r="K261" s="609"/>
      <c r="S261" s="432"/>
    </row>
    <row r="262" spans="3:19" ht="13.25" customHeight="1">
      <c r="C262" s="1492"/>
      <c r="K262" s="609"/>
      <c r="S262" s="432"/>
    </row>
    <row r="263" spans="3:19" ht="13.25" customHeight="1">
      <c r="C263" s="1492"/>
      <c r="K263" s="609"/>
      <c r="S263" s="432"/>
    </row>
    <row r="264" spans="3:19" ht="13.25" customHeight="1">
      <c r="C264" s="1492"/>
      <c r="K264" s="609"/>
      <c r="S264" s="432"/>
    </row>
    <row r="265" spans="3:19" ht="13.25" customHeight="1">
      <c r="C265" s="1492"/>
      <c r="K265" s="609"/>
      <c r="S265" s="432"/>
    </row>
    <row r="266" spans="3:19" ht="13.25" customHeight="1">
      <c r="C266" s="1492"/>
      <c r="K266" s="609"/>
      <c r="S266" s="432"/>
    </row>
    <row r="267" spans="3:19" ht="13.25" customHeight="1">
      <c r="C267" s="1492" t="s">
        <v>233</v>
      </c>
      <c r="K267" s="609"/>
      <c r="S267" s="432"/>
    </row>
    <row r="268" spans="3:19" ht="13.25" customHeight="1">
      <c r="C268" s="1492"/>
      <c r="K268" s="609"/>
      <c r="S268" s="432"/>
    </row>
    <row r="269" spans="3:19" ht="13.25" customHeight="1">
      <c r="C269" s="1492"/>
      <c r="K269" s="609"/>
      <c r="S269" s="432"/>
    </row>
    <row r="270" spans="3:19" ht="13.25" customHeight="1">
      <c r="C270" s="1492"/>
      <c r="K270" s="609"/>
      <c r="S270" s="432"/>
    </row>
    <row r="271" spans="3:19" ht="13.25" customHeight="1">
      <c r="C271" s="1492"/>
      <c r="K271" s="609"/>
      <c r="S271" s="432"/>
    </row>
    <row r="272" spans="3:19" ht="13.25" customHeight="1">
      <c r="C272" s="1492"/>
      <c r="K272" s="609"/>
      <c r="S272" s="432"/>
    </row>
    <row r="273" spans="3:19" ht="13.25" customHeight="1">
      <c r="C273" s="1492"/>
      <c r="K273" s="609"/>
      <c r="S273" s="432"/>
    </row>
    <row r="274" spans="3:19" ht="13.25" customHeight="1">
      <c r="C274" s="1492"/>
      <c r="K274" s="609"/>
      <c r="S274" s="432"/>
    </row>
    <row r="275" spans="3:19" ht="13.25" customHeight="1">
      <c r="C275" s="1492"/>
      <c r="K275" s="609"/>
      <c r="S275" s="432"/>
    </row>
    <row r="276" spans="3:19" ht="13.25" customHeight="1">
      <c r="C276" s="1492"/>
      <c r="K276" s="609"/>
      <c r="S276" s="432"/>
    </row>
    <row r="277" spans="3:19" ht="13.25" customHeight="1">
      <c r="C277" s="1492"/>
      <c r="K277" s="609"/>
      <c r="S277" s="432"/>
    </row>
    <row r="278" spans="3:19" ht="13.25" customHeight="1">
      <c r="C278" s="1492"/>
      <c r="K278" s="609"/>
      <c r="S278" s="432"/>
    </row>
    <row r="279" spans="3:19" ht="13.25" customHeight="1">
      <c r="C279" s="1492"/>
      <c r="K279" s="609"/>
      <c r="S279" s="432"/>
    </row>
    <row r="280" spans="3:19" ht="13.25" customHeight="1">
      <c r="C280" s="1492"/>
      <c r="K280" s="609"/>
      <c r="S280" s="432"/>
    </row>
    <row r="281" spans="3:19" ht="13.25" customHeight="1">
      <c r="C281" s="1492"/>
      <c r="K281" s="609"/>
      <c r="S281" s="432"/>
    </row>
    <row r="282" spans="3:19" ht="13.25" customHeight="1">
      <c r="C282" s="1492"/>
      <c r="K282" s="609"/>
      <c r="S282" s="432"/>
    </row>
    <row r="283" spans="3:19" ht="13.25" customHeight="1">
      <c r="C283" s="1492"/>
      <c r="K283" s="609"/>
      <c r="S283" s="432"/>
    </row>
    <row r="284" spans="3:19" ht="13.25" customHeight="1">
      <c r="C284" s="1492"/>
      <c r="K284" s="609"/>
      <c r="S284" s="432"/>
    </row>
    <row r="285" spans="3:19" ht="13.25" customHeight="1">
      <c r="C285" s="1492"/>
      <c r="K285" s="609"/>
      <c r="S285" s="432"/>
    </row>
    <row r="286" spans="3:19" ht="13.25" customHeight="1">
      <c r="C286" s="1492"/>
      <c r="K286" s="609"/>
      <c r="S286" s="432"/>
    </row>
    <row r="287" spans="3:19" ht="13.25" customHeight="1">
      <c r="C287" s="1492"/>
      <c r="K287" s="609"/>
      <c r="S287" s="432"/>
    </row>
    <row r="288" spans="3:19" ht="13.25" customHeight="1">
      <c r="C288" s="1492"/>
      <c r="K288" s="609"/>
      <c r="S288" s="432"/>
    </row>
    <row r="289" spans="3:19" ht="13.25" customHeight="1">
      <c r="C289" s="1492"/>
      <c r="K289" s="609"/>
      <c r="S289" s="432"/>
    </row>
    <row r="290" spans="3:19" ht="13.25" customHeight="1">
      <c r="C290" s="1492"/>
      <c r="K290" s="609"/>
      <c r="S290" s="432"/>
    </row>
    <row r="291" spans="3:19" ht="13.25" customHeight="1">
      <c r="C291" s="1492"/>
      <c r="K291" s="609"/>
      <c r="S291" s="432"/>
    </row>
    <row r="292" spans="3:19" ht="13.25" customHeight="1">
      <c r="C292" s="1492"/>
      <c r="K292" s="609"/>
      <c r="S292" s="432"/>
    </row>
    <row r="293" spans="3:19" ht="13.25" customHeight="1">
      <c r="C293" s="1492"/>
      <c r="K293" s="609"/>
      <c r="S293" s="432"/>
    </row>
    <row r="294" spans="3:19" ht="13.25" customHeight="1">
      <c r="C294" s="1492"/>
      <c r="K294" s="609"/>
      <c r="S294" s="432"/>
    </row>
    <row r="295" spans="3:19" ht="13.25" customHeight="1">
      <c r="C295" s="1492"/>
      <c r="K295" s="609"/>
      <c r="S295" s="432"/>
    </row>
    <row r="296" spans="3:19" ht="13.25" customHeight="1">
      <c r="C296" s="1492"/>
      <c r="K296" s="609"/>
      <c r="S296" s="432"/>
    </row>
    <row r="297" spans="3:19" ht="13.25" customHeight="1">
      <c r="C297" s="1492"/>
      <c r="K297" s="609"/>
      <c r="S297" s="432"/>
    </row>
    <row r="298" spans="3:19" ht="13.25" customHeight="1">
      <c r="C298" s="1492"/>
      <c r="K298" s="609"/>
      <c r="S298" s="432"/>
    </row>
    <row r="299" spans="3:19" ht="13.25" customHeight="1">
      <c r="C299" s="1492"/>
      <c r="K299" s="609"/>
      <c r="S299" s="432"/>
    </row>
    <row r="300" spans="3:19" ht="13.25" customHeight="1">
      <c r="C300" s="1492"/>
      <c r="K300" s="609"/>
      <c r="S300" s="432"/>
    </row>
    <row r="301" spans="3:19" ht="13.25" customHeight="1">
      <c r="C301" s="1492"/>
      <c r="K301" s="609"/>
      <c r="S301" s="432"/>
    </row>
    <row r="302" spans="3:19" ht="13.25" customHeight="1">
      <c r="C302" s="1492"/>
      <c r="K302" s="609"/>
      <c r="S302" s="432"/>
    </row>
    <row r="303" spans="3:19" ht="13.25" customHeight="1">
      <c r="C303" s="1492"/>
      <c r="K303" s="609"/>
      <c r="S303" s="432"/>
    </row>
    <row r="304" spans="3:19" ht="13.25" customHeight="1">
      <c r="C304" s="1492"/>
      <c r="K304" s="609"/>
      <c r="S304" s="432"/>
    </row>
    <row r="305" spans="3:19" ht="13.25" customHeight="1">
      <c r="C305" s="1492"/>
      <c r="K305" s="609"/>
      <c r="S305" s="432"/>
    </row>
    <row r="306" spans="3:19" ht="13.25" customHeight="1">
      <c r="C306" s="1492"/>
      <c r="K306" s="609"/>
      <c r="S306" s="432"/>
    </row>
    <row r="307" spans="3:19" ht="13.25" customHeight="1">
      <c r="C307" s="1492"/>
      <c r="K307" s="609"/>
      <c r="S307" s="432"/>
    </row>
    <row r="308" spans="3:19" ht="13.25" customHeight="1">
      <c r="C308" s="1492"/>
      <c r="K308" s="609"/>
      <c r="S308" s="432"/>
    </row>
    <row r="309" spans="3:19" ht="13.25" customHeight="1">
      <c r="C309" s="1492"/>
      <c r="K309" s="609"/>
      <c r="S309" s="432"/>
    </row>
    <row r="310" spans="3:19" ht="13.25" customHeight="1">
      <c r="C310" s="1492"/>
      <c r="K310" s="609"/>
      <c r="S310" s="432"/>
    </row>
    <row r="311" spans="3:19" ht="13.25" customHeight="1">
      <c r="C311" s="1492"/>
      <c r="K311" s="609"/>
      <c r="S311" s="432"/>
    </row>
    <row r="312" spans="3:19" ht="13.25" customHeight="1">
      <c r="C312" s="1492"/>
      <c r="K312" s="609"/>
      <c r="S312" s="432"/>
    </row>
    <row r="313" spans="3:19" ht="13.25" customHeight="1">
      <c r="C313" s="1492"/>
      <c r="K313" s="609"/>
      <c r="S313" s="432"/>
    </row>
    <row r="314" spans="3:19" ht="13.25" customHeight="1">
      <c r="C314" s="1492"/>
      <c r="K314" s="609"/>
      <c r="S314" s="432"/>
    </row>
    <row r="315" spans="3:19" ht="13.25" customHeight="1">
      <c r="C315" s="1492"/>
      <c r="K315" s="609"/>
      <c r="S315" s="432"/>
    </row>
    <row r="316" spans="3:19" ht="13.25" customHeight="1">
      <c r="C316" s="1492"/>
      <c r="K316" s="609"/>
      <c r="S316" s="432"/>
    </row>
    <row r="317" spans="3:19" ht="13.25" customHeight="1">
      <c r="C317" s="1492"/>
      <c r="K317" s="609"/>
      <c r="S317" s="432"/>
    </row>
    <row r="318" spans="3:19" ht="13.25" customHeight="1">
      <c r="C318" s="1492"/>
      <c r="K318" s="609"/>
      <c r="S318" s="432"/>
    </row>
    <row r="319" spans="3:19" ht="13.25" customHeight="1">
      <c r="C319" s="1492"/>
      <c r="K319" s="609"/>
      <c r="S319" s="432"/>
    </row>
    <row r="320" spans="3:19" ht="13.25" customHeight="1">
      <c r="C320" s="1492"/>
      <c r="K320" s="609"/>
      <c r="S320" s="432"/>
    </row>
    <row r="321" spans="3:19" ht="13.25" customHeight="1">
      <c r="C321" s="1492"/>
      <c r="K321" s="609"/>
      <c r="S321" s="432"/>
    </row>
    <row r="322" spans="3:19" ht="13.25" customHeight="1">
      <c r="C322" s="1492"/>
      <c r="K322" s="609"/>
      <c r="S322" s="432"/>
    </row>
    <row r="323" spans="3:19" ht="13.25" customHeight="1">
      <c r="C323" s="1492"/>
      <c r="K323" s="609"/>
      <c r="S323" s="432"/>
    </row>
    <row r="324" spans="3:19" ht="13.25" customHeight="1">
      <c r="C324" s="1492"/>
      <c r="K324" s="609"/>
      <c r="S324" s="432"/>
    </row>
    <row r="325" spans="3:19" ht="13.25" customHeight="1">
      <c r="C325" s="1492"/>
      <c r="K325" s="609"/>
      <c r="S325" s="432"/>
    </row>
    <row r="326" spans="3:19" ht="13.25" customHeight="1">
      <c r="C326" s="1492"/>
      <c r="K326" s="609"/>
      <c r="S326" s="432"/>
    </row>
    <row r="327" spans="3:19" ht="13.25" customHeight="1">
      <c r="C327" s="1492"/>
      <c r="K327" s="609"/>
      <c r="S327" s="432"/>
    </row>
    <row r="328" spans="3:19" ht="13.25" customHeight="1">
      <c r="C328" s="1492"/>
      <c r="K328" s="609"/>
      <c r="S328" s="432"/>
    </row>
    <row r="329" spans="3:19" ht="13.25" customHeight="1">
      <c r="C329" s="1492"/>
      <c r="K329" s="609"/>
      <c r="S329" s="432"/>
    </row>
    <row r="330" spans="3:19" ht="13.25" customHeight="1">
      <c r="C330" s="1492"/>
      <c r="K330" s="609"/>
      <c r="S330" s="432"/>
    </row>
    <row r="331" spans="3:19" ht="13.25" customHeight="1">
      <c r="C331" s="1492"/>
      <c r="K331" s="609"/>
      <c r="S331" s="432"/>
    </row>
    <row r="332" spans="3:19" ht="13.25" customHeight="1">
      <c r="C332" s="1492"/>
      <c r="K332" s="609"/>
      <c r="S332" s="432"/>
    </row>
    <row r="333" spans="3:19" ht="13.25" customHeight="1">
      <c r="C333" s="1492"/>
      <c r="K333" s="609"/>
      <c r="S333" s="432"/>
    </row>
    <row r="334" spans="3:19" ht="13.25" customHeight="1">
      <c r="C334" s="1492"/>
      <c r="K334" s="609"/>
      <c r="S334" s="432"/>
    </row>
    <row r="335" spans="3:19" ht="13.25" customHeight="1">
      <c r="C335" s="1492"/>
      <c r="K335" s="609"/>
      <c r="S335" s="432"/>
    </row>
    <row r="336" spans="3:19" ht="13.25" customHeight="1">
      <c r="C336" s="1492"/>
      <c r="K336" s="609"/>
      <c r="S336" s="432"/>
    </row>
    <row r="337" spans="3:19" ht="13.25" customHeight="1">
      <c r="C337" s="1492"/>
      <c r="K337" s="609"/>
      <c r="S337" s="432"/>
    </row>
    <row r="338" spans="3:19" ht="13.25" customHeight="1">
      <c r="C338" s="1492"/>
      <c r="K338" s="609"/>
      <c r="S338" s="432"/>
    </row>
    <row r="339" spans="3:19" ht="13.25" customHeight="1">
      <c r="C339" s="1492"/>
      <c r="K339" s="609"/>
      <c r="S339" s="432"/>
    </row>
    <row r="340" spans="3:19" ht="13.25" customHeight="1">
      <c r="C340" s="1492"/>
      <c r="K340" s="609"/>
      <c r="S340" s="432"/>
    </row>
    <row r="341" spans="3:19" ht="13.25" customHeight="1">
      <c r="C341" s="1492"/>
      <c r="K341" s="609"/>
      <c r="S341" s="432"/>
    </row>
    <row r="342" spans="3:19" ht="13.25" customHeight="1">
      <c r="C342" s="1492"/>
      <c r="K342" s="609"/>
      <c r="S342" s="432"/>
    </row>
    <row r="343" spans="3:19" ht="13.25" customHeight="1">
      <c r="C343" s="1492"/>
      <c r="K343" s="609"/>
      <c r="S343" s="432"/>
    </row>
    <row r="344" spans="3:19" ht="13.25" customHeight="1">
      <c r="C344" s="1492"/>
      <c r="K344" s="609"/>
      <c r="S344" s="432"/>
    </row>
    <row r="345" spans="3:19" ht="13.25" customHeight="1">
      <c r="C345" s="1492"/>
      <c r="K345" s="609"/>
      <c r="S345" s="432"/>
    </row>
    <row r="346" spans="3:19" ht="13.25" customHeight="1">
      <c r="C346" s="1492" t="s">
        <v>233</v>
      </c>
      <c r="K346" s="609"/>
      <c r="S346" s="432"/>
    </row>
    <row r="347" spans="3:19" ht="13.25" customHeight="1">
      <c r="C347" s="1492"/>
      <c r="K347" s="609"/>
      <c r="S347" s="432"/>
    </row>
    <row r="348" spans="3:19" ht="13.25" customHeight="1">
      <c r="C348" s="1492"/>
      <c r="K348" s="609"/>
      <c r="S348" s="432"/>
    </row>
    <row r="349" spans="3:19" ht="13.25" customHeight="1">
      <c r="C349" s="1492"/>
      <c r="K349" s="609"/>
      <c r="S349" s="432"/>
    </row>
    <row r="350" spans="3:19" ht="13.25" customHeight="1">
      <c r="C350" s="1492"/>
      <c r="K350" s="609"/>
      <c r="S350" s="432"/>
    </row>
    <row r="351" spans="3:19" ht="13.25" customHeight="1">
      <c r="C351" s="1492"/>
      <c r="K351" s="609"/>
      <c r="S351" s="432"/>
    </row>
    <row r="352" spans="3:19" ht="13.25" customHeight="1">
      <c r="C352" s="1492"/>
      <c r="K352" s="609"/>
      <c r="S352" s="432"/>
    </row>
    <row r="353" spans="3:19" ht="13.25" customHeight="1">
      <c r="C353" s="1492"/>
      <c r="K353" s="609"/>
      <c r="S353" s="432"/>
    </row>
    <row r="354" spans="3:19" ht="13.25" customHeight="1">
      <c r="C354" s="1492"/>
      <c r="K354" s="609"/>
      <c r="S354" s="432"/>
    </row>
    <row r="355" spans="3:19" ht="13.25" customHeight="1">
      <c r="C355" s="1492"/>
      <c r="K355" s="609"/>
      <c r="S355" s="432"/>
    </row>
    <row r="356" spans="3:19" ht="13.25" customHeight="1">
      <c r="C356" s="1492"/>
      <c r="K356" s="609"/>
      <c r="S356" s="432"/>
    </row>
    <row r="357" spans="3:19" ht="13.25" customHeight="1">
      <c r="C357" s="1492"/>
      <c r="K357" s="609"/>
      <c r="S357" s="432"/>
    </row>
    <row r="358" spans="3:19" ht="13.25" customHeight="1">
      <c r="C358" s="1492"/>
      <c r="K358" s="609"/>
      <c r="S358" s="432"/>
    </row>
    <row r="359" spans="3:19" ht="13.25" customHeight="1">
      <c r="C359" s="1492"/>
      <c r="K359" s="609"/>
      <c r="S359" s="432"/>
    </row>
    <row r="360" spans="3:19" ht="13.25" customHeight="1">
      <c r="C360" s="1492"/>
      <c r="K360" s="609"/>
      <c r="S360" s="432"/>
    </row>
    <row r="361" spans="3:19" ht="13.25" customHeight="1">
      <c r="C361" s="1492"/>
      <c r="K361" s="609"/>
      <c r="S361" s="432"/>
    </row>
    <row r="362" spans="3:19" ht="13.25" customHeight="1">
      <c r="C362" s="1492"/>
      <c r="K362" s="609"/>
      <c r="S362" s="432"/>
    </row>
    <row r="363" spans="3:19" ht="13.25" customHeight="1">
      <c r="C363" s="1492"/>
      <c r="K363" s="609"/>
      <c r="S363" s="432"/>
    </row>
    <row r="364" spans="3:19" ht="13.25" customHeight="1">
      <c r="C364" s="1492"/>
      <c r="K364" s="609"/>
      <c r="S364" s="432"/>
    </row>
    <row r="365" spans="3:19" ht="13.25" customHeight="1">
      <c r="C365" s="1492"/>
      <c r="K365" s="609"/>
      <c r="S365" s="432"/>
    </row>
    <row r="366" spans="3:19" ht="13.25" customHeight="1">
      <c r="C366" s="1492"/>
      <c r="K366" s="609"/>
      <c r="S366" s="432"/>
    </row>
    <row r="367" spans="3:19" ht="13.25" customHeight="1">
      <c r="C367" s="1492"/>
      <c r="K367" s="609"/>
      <c r="S367" s="432"/>
    </row>
    <row r="368" spans="3:19" ht="13.25" customHeight="1">
      <c r="C368" s="1492"/>
      <c r="K368" s="609"/>
      <c r="S368" s="432"/>
    </row>
    <row r="369" spans="3:19" ht="13.25" customHeight="1">
      <c r="C369" s="1492"/>
      <c r="K369" s="609"/>
      <c r="S369" s="432"/>
    </row>
    <row r="370" spans="3:19" ht="13.25" customHeight="1">
      <c r="C370" s="1492"/>
      <c r="K370" s="609"/>
      <c r="S370" s="432"/>
    </row>
    <row r="371" spans="3:19" ht="13.25" customHeight="1">
      <c r="C371" s="1492"/>
      <c r="K371" s="609"/>
      <c r="S371" s="432"/>
    </row>
    <row r="372" spans="3:19" ht="13.25" customHeight="1">
      <c r="C372" s="1492"/>
      <c r="K372" s="609"/>
      <c r="S372" s="432"/>
    </row>
    <row r="373" spans="3:19" ht="13.25" customHeight="1">
      <c r="C373" s="1492"/>
      <c r="K373" s="609"/>
      <c r="S373" s="432"/>
    </row>
    <row r="374" spans="3:19" ht="13.25" customHeight="1">
      <c r="C374" s="1492"/>
      <c r="K374" s="609"/>
      <c r="S374" s="432"/>
    </row>
    <row r="375" spans="3:19" ht="13.25" customHeight="1">
      <c r="C375" s="1492"/>
      <c r="K375" s="609"/>
      <c r="S375" s="432"/>
    </row>
    <row r="376" spans="3:19" ht="13.25" customHeight="1">
      <c r="C376" s="1492"/>
      <c r="K376" s="609"/>
      <c r="S376" s="432"/>
    </row>
    <row r="377" spans="3:19" ht="13.25" customHeight="1">
      <c r="C377" s="1492"/>
      <c r="K377" s="609"/>
      <c r="S377" s="432"/>
    </row>
    <row r="378" spans="3:19" ht="13.25" customHeight="1">
      <c r="C378" s="1492"/>
      <c r="K378" s="609"/>
      <c r="S378" s="432"/>
    </row>
    <row r="379" spans="3:19" ht="13.25" customHeight="1">
      <c r="C379" s="1492"/>
      <c r="K379" s="609"/>
      <c r="S379" s="432"/>
    </row>
    <row r="380" spans="3:19" ht="13.25" customHeight="1">
      <c r="C380" s="1492"/>
      <c r="K380" s="609"/>
      <c r="S380" s="432"/>
    </row>
    <row r="381" spans="3:19" ht="13.25" customHeight="1">
      <c r="C381" s="1492"/>
      <c r="K381" s="609"/>
      <c r="S381" s="432"/>
    </row>
    <row r="382" spans="3:19" ht="13.25" customHeight="1">
      <c r="C382" s="1492"/>
      <c r="K382" s="609"/>
      <c r="S382" s="432"/>
    </row>
    <row r="383" spans="3:19" ht="13.25" customHeight="1">
      <c r="C383" s="1492"/>
      <c r="K383" s="609"/>
      <c r="S383" s="432"/>
    </row>
    <row r="384" spans="3:19" ht="13.25" customHeight="1">
      <c r="C384" s="1492"/>
      <c r="K384" s="609"/>
      <c r="S384" s="432"/>
    </row>
    <row r="385" spans="3:19" ht="13.25" customHeight="1">
      <c r="C385" s="1492"/>
      <c r="K385" s="609"/>
      <c r="S385" s="432"/>
    </row>
    <row r="386" spans="3:19" ht="13.25" customHeight="1">
      <c r="C386" s="1492"/>
      <c r="K386" s="609"/>
      <c r="S386" s="432"/>
    </row>
    <row r="387" spans="3:19" ht="13.25" customHeight="1">
      <c r="C387" s="1492"/>
      <c r="K387" s="609"/>
      <c r="S387" s="432"/>
    </row>
    <row r="388" spans="3:19" ht="13.25" customHeight="1">
      <c r="C388" s="1492"/>
      <c r="K388" s="609"/>
      <c r="S388" s="432"/>
    </row>
    <row r="389" spans="3:19" ht="13.25" customHeight="1">
      <c r="C389" s="1492"/>
      <c r="K389" s="609"/>
      <c r="S389" s="432"/>
    </row>
    <row r="390" spans="3:19" ht="13.25" customHeight="1">
      <c r="C390" s="1492"/>
      <c r="K390" s="609"/>
      <c r="S390" s="432"/>
    </row>
    <row r="391" spans="3:19" ht="13.25" customHeight="1">
      <c r="C391" s="1492"/>
      <c r="K391" s="609"/>
      <c r="S391" s="432"/>
    </row>
    <row r="392" spans="3:19" ht="13.25" customHeight="1">
      <c r="C392" s="1492"/>
      <c r="K392" s="609"/>
      <c r="S392" s="432"/>
    </row>
    <row r="393" spans="3:19" ht="13.25" customHeight="1">
      <c r="C393" s="1492"/>
      <c r="K393" s="609"/>
      <c r="S393" s="432"/>
    </row>
    <row r="394" spans="3:19" ht="13.25" customHeight="1">
      <c r="C394" s="1492"/>
      <c r="K394" s="609"/>
      <c r="S394" s="432"/>
    </row>
    <row r="395" spans="3:19" ht="13.25" customHeight="1">
      <c r="C395" s="1492"/>
      <c r="K395" s="609"/>
      <c r="S395" s="432"/>
    </row>
    <row r="396" spans="3:19" ht="13.25" customHeight="1">
      <c r="C396" s="1492"/>
      <c r="K396" s="609"/>
      <c r="S396" s="432"/>
    </row>
    <row r="397" spans="3:19" ht="13.25" customHeight="1">
      <c r="C397" s="1492"/>
      <c r="K397" s="609"/>
      <c r="S397" s="432"/>
    </row>
    <row r="398" spans="3:19" ht="13.25" customHeight="1">
      <c r="C398" s="1492"/>
      <c r="K398" s="609"/>
      <c r="S398" s="432"/>
    </row>
    <row r="399" spans="3:19" ht="13.25" customHeight="1">
      <c r="C399" s="1492"/>
      <c r="K399" s="609"/>
      <c r="S399" s="432"/>
    </row>
    <row r="400" spans="3:19" ht="13.25" customHeight="1">
      <c r="C400" s="1492"/>
      <c r="K400" s="609"/>
      <c r="S400" s="432"/>
    </row>
    <row r="401" spans="3:19" ht="13.25" customHeight="1">
      <c r="C401" s="1492"/>
      <c r="K401" s="609"/>
      <c r="S401" s="432"/>
    </row>
    <row r="402" spans="3:19" ht="13.25" customHeight="1">
      <c r="C402" s="1492"/>
      <c r="K402" s="609"/>
      <c r="S402" s="432"/>
    </row>
    <row r="403" spans="3:19" ht="13.25" customHeight="1">
      <c r="C403" s="1492"/>
      <c r="K403" s="609"/>
      <c r="S403" s="432"/>
    </row>
    <row r="404" spans="3:19" ht="13.25" customHeight="1">
      <c r="C404" s="1492"/>
      <c r="K404" s="609"/>
      <c r="S404" s="432"/>
    </row>
    <row r="405" spans="3:19" ht="13.25" customHeight="1">
      <c r="C405" s="1492"/>
      <c r="K405" s="609"/>
      <c r="S405" s="432"/>
    </row>
    <row r="406" spans="3:19" ht="13.25" customHeight="1">
      <c r="C406" s="1492"/>
      <c r="K406" s="609"/>
      <c r="S406" s="432"/>
    </row>
    <row r="407" spans="3:19" ht="13.25" customHeight="1">
      <c r="C407" s="1492"/>
      <c r="K407" s="609"/>
      <c r="S407" s="432"/>
    </row>
    <row r="408" spans="3:19" ht="13.25" customHeight="1">
      <c r="C408" s="1492"/>
      <c r="K408" s="609"/>
      <c r="S408" s="432"/>
    </row>
    <row r="409" spans="3:19" ht="13.25" customHeight="1">
      <c r="C409" s="1492"/>
      <c r="K409" s="609"/>
      <c r="S409" s="432"/>
    </row>
    <row r="410" spans="3:19" ht="13.25" customHeight="1">
      <c r="C410" s="1492"/>
      <c r="K410" s="609"/>
      <c r="S410" s="432"/>
    </row>
    <row r="411" spans="3:19" ht="13.25" customHeight="1">
      <c r="C411" s="1492"/>
      <c r="K411" s="609"/>
      <c r="S411" s="432"/>
    </row>
    <row r="412" spans="3:19" ht="13.25" customHeight="1">
      <c r="C412" s="1492"/>
      <c r="K412" s="609"/>
      <c r="S412" s="432"/>
    </row>
    <row r="413" spans="3:19" ht="13.25" customHeight="1">
      <c r="C413" s="1492"/>
      <c r="K413" s="609"/>
      <c r="S413" s="432"/>
    </row>
    <row r="414" spans="3:19" ht="13.25" customHeight="1">
      <c r="C414" s="1492"/>
      <c r="K414" s="609"/>
      <c r="S414" s="432"/>
    </row>
    <row r="415" spans="3:19" ht="13.25" customHeight="1">
      <c r="C415" s="1492"/>
      <c r="K415" s="609"/>
      <c r="S415" s="432"/>
    </row>
    <row r="416" spans="3:19" ht="13.25" customHeight="1">
      <c r="C416" s="1492"/>
      <c r="K416" s="609"/>
      <c r="S416" s="432"/>
    </row>
    <row r="417" spans="3:19" ht="13.25" customHeight="1">
      <c r="C417" s="1492"/>
      <c r="K417" s="609"/>
      <c r="S417" s="432"/>
    </row>
    <row r="418" spans="3:19" ht="13.25" customHeight="1">
      <c r="C418" s="1492"/>
      <c r="K418" s="609"/>
      <c r="S418" s="432"/>
    </row>
    <row r="419" spans="3:19" ht="13.25" customHeight="1">
      <c r="C419" s="1492"/>
      <c r="K419" s="609"/>
      <c r="S419" s="432"/>
    </row>
    <row r="420" spans="3:19" ht="13.25" customHeight="1">
      <c r="C420" s="1492"/>
      <c r="K420" s="609"/>
      <c r="S420" s="432"/>
    </row>
    <row r="421" spans="3:19" ht="13.25" customHeight="1">
      <c r="C421" s="1492"/>
      <c r="K421" s="609"/>
      <c r="S421" s="432"/>
    </row>
    <row r="422" spans="3:19" ht="13.25" customHeight="1">
      <c r="C422" s="1492"/>
      <c r="K422" s="609"/>
      <c r="S422" s="432"/>
    </row>
    <row r="423" spans="3:19" ht="13.25" customHeight="1">
      <c r="C423" s="1492"/>
      <c r="K423" s="609"/>
      <c r="S423" s="432"/>
    </row>
    <row r="424" spans="3:19" ht="13.25" customHeight="1">
      <c r="C424" s="1492"/>
      <c r="K424" s="609"/>
      <c r="S424" s="432"/>
    </row>
    <row r="425" spans="3:19" ht="13.25" customHeight="1">
      <c r="C425" s="1492" t="s">
        <v>233</v>
      </c>
      <c r="K425" s="609"/>
      <c r="S425" s="432"/>
    </row>
    <row r="426" spans="3:19" ht="13.25" customHeight="1">
      <c r="C426" s="1492"/>
      <c r="K426" s="609"/>
      <c r="S426" s="432"/>
    </row>
    <row r="427" spans="3:19" ht="13.25" customHeight="1">
      <c r="C427" s="1492"/>
      <c r="K427" s="609"/>
      <c r="S427" s="432"/>
    </row>
    <row r="428" spans="3:19" ht="13.2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432" customWidth="1"/>
    <col min="2" max="2" width="12.5" style="432" customWidth="1"/>
    <col min="3" max="3" width="12.33203125" style="432" customWidth="1"/>
    <col min="4" max="4" width="9.6640625" style="432" customWidth="1"/>
    <col min="5" max="5" width="10.5" style="432" customWidth="1"/>
    <col min="6" max="6" width="9.33203125" style="432"/>
    <col min="7" max="7" width="11" style="432" customWidth="1"/>
    <col min="8" max="8" width="14.5" style="432" customWidth="1"/>
    <col min="9" max="9" width="10.33203125" style="432" customWidth="1"/>
    <col min="10" max="16384" width="9.33203125" style="432"/>
  </cols>
  <sheetData>
    <row r="1" spans="2:13" ht="16">
      <c r="B1" s="4728" t="s">
        <v>3479</v>
      </c>
      <c r="C1" s="4728"/>
      <c r="D1" s="4728"/>
      <c r="E1" s="4728"/>
      <c r="F1" s="4728"/>
      <c r="G1" s="4728"/>
      <c r="H1" s="4728"/>
      <c r="I1" s="4728"/>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Fairhaven on Campbellton</v>
      </c>
      <c r="H5" s="4889"/>
      <c r="I5" s="4890"/>
    </row>
    <row r="6" spans="2:13" ht="4.5" customHeight="1">
      <c r="D6" s="1042"/>
      <c r="E6" s="1042"/>
      <c r="F6" s="1042"/>
      <c r="G6" s="1042"/>
      <c r="H6" s="1042"/>
      <c r="I6" s="1042"/>
    </row>
    <row r="7" spans="2:13">
      <c r="B7" s="4876" t="s">
        <v>2891</v>
      </c>
      <c r="C7" s="4876"/>
      <c r="H7" s="4883">
        <f>'Preview term'!E9</f>
        <v>0</v>
      </c>
      <c r="I7" s="4884"/>
    </row>
    <row r="8" spans="2:13" ht="4.5" customHeight="1"/>
    <row r="9" spans="2: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8" t="s">
        <v>3487</v>
      </c>
      <c r="I35" s="4893"/>
    </row>
    <row r="36" spans="2:9">
      <c r="B36" s="1059" t="s">
        <v>3486</v>
      </c>
      <c r="C36" s="523"/>
      <c r="D36" s="523"/>
      <c r="F36" s="1258"/>
      <c r="G36" s="617"/>
      <c r="H36" s="4828"/>
      <c r="I36" s="4893"/>
    </row>
    <row r="37" spans="2:9">
      <c r="B37" s="1059" t="s">
        <v>3484</v>
      </c>
      <c r="D37" s="523"/>
      <c r="F37" s="1259"/>
      <c r="G37" s="617"/>
      <c r="H37" s="4828"/>
      <c r="I37" s="4893"/>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3489</v>
      </c>
      <c r="C52" s="4873" t="str">
        <f>'Part I-Project Identification'!F26</f>
        <v>Atlanta</v>
      </c>
      <c r="D52" s="4874"/>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2650000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2650000</v>
      </c>
      <c r="G84" s="4897"/>
      <c r="I84" s="1049"/>
    </row>
    <row r="85" spans="2:9">
      <c r="B85" s="1047"/>
      <c r="C85" s="432" t="s">
        <v>2928</v>
      </c>
      <c r="F85" s="4872">
        <f>'Part II-Sources of Funds'!I47+'Part II-Sources of Funds'!L47</f>
        <v>444466.79994984565</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c r="B89" s="1047"/>
      <c r="C89" s="560" t="s">
        <v>2932</v>
      </c>
      <c r="F89" s="4895">
        <f>SUM(F84:G88)</f>
        <v>3105466.7999498458</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f>+F103+F101+F95+F89</f>
        <v>3105466.7999498458</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6" t="s">
        <v>6617</v>
      </c>
      <c r="R11" s="492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8" t="s">
        <v>3907</v>
      </c>
      <c r="R13" s="4908"/>
      <c r="S13" s="144"/>
      <c r="T13" s="144"/>
      <c r="U13" s="144"/>
      <c r="AA13" s="68"/>
      <c r="AB13" s="68"/>
    </row>
    <row r="14" spans="1:28" s="145" customFormat="1" ht="12.75" hidden="1" customHeight="1">
      <c r="A14" s="147"/>
      <c r="B14" s="147"/>
      <c r="C14" s="147"/>
      <c r="K14" s="236" t="s">
        <v>3908</v>
      </c>
      <c r="L14" s="236"/>
      <c r="N14" s="234"/>
      <c r="O14" s="147"/>
      <c r="P14" s="144"/>
      <c r="Q14" s="4906">
        <v>0.2</v>
      </c>
      <c r="R14" s="4907"/>
      <c r="S14" s="144"/>
      <c r="T14" s="144"/>
      <c r="U14" s="144"/>
      <c r="AA14" s="68"/>
      <c r="AB14" s="68"/>
    </row>
    <row r="15" spans="1:28" s="145" customFormat="1" ht="12.75" hidden="1" customHeight="1">
      <c r="A15" s="147"/>
      <c r="B15" s="147"/>
      <c r="C15" s="147"/>
      <c r="K15" s="236" t="s">
        <v>3909</v>
      </c>
      <c r="L15" s="236"/>
      <c r="N15" s="234"/>
      <c r="O15" s="147"/>
      <c r="P15" s="144"/>
      <c r="Q15" s="4929">
        <v>0.15</v>
      </c>
      <c r="R15" s="4930"/>
      <c r="S15" s="144"/>
      <c r="T15" s="144"/>
      <c r="U15" s="144"/>
      <c r="AA15" s="68"/>
      <c r="AB15" s="68"/>
    </row>
    <row r="16" spans="1:28" s="145" customFormat="1" ht="12.75" hidden="1" customHeight="1">
      <c r="A16" s="147"/>
      <c r="B16" s="147"/>
      <c r="C16" s="147"/>
      <c r="K16" s="236" t="s">
        <v>3910</v>
      </c>
      <c r="L16" s="236"/>
      <c r="N16" s="234"/>
      <c r="O16" s="147"/>
      <c r="P16" s="144"/>
      <c r="Q16" s="4929">
        <v>0.15</v>
      </c>
      <c r="R16" s="4930"/>
      <c r="S16" s="144"/>
      <c r="T16" s="144"/>
      <c r="U16" s="144"/>
      <c r="AA16" s="68"/>
      <c r="AB16" s="68"/>
    </row>
    <row r="17" spans="1:28" s="145" customFormat="1" ht="12.75" hidden="1" customHeight="1">
      <c r="A17" s="147"/>
      <c r="B17" s="147"/>
      <c r="C17" s="147"/>
      <c r="K17" s="236" t="s">
        <v>3911</v>
      </c>
      <c r="L17" s="236"/>
      <c r="N17" s="234"/>
      <c r="O17" s="147"/>
      <c r="P17" s="144"/>
      <c r="Q17" s="4929">
        <v>0.1</v>
      </c>
      <c r="R17" s="4930"/>
      <c r="S17" s="144"/>
      <c r="T17" s="144"/>
      <c r="U17" s="144"/>
      <c r="AA17" s="68"/>
      <c r="AB17" s="68"/>
    </row>
    <row r="18" spans="1:28" s="145" customFormat="1" ht="12.75" hidden="1" customHeight="1">
      <c r="A18" s="147"/>
      <c r="B18" s="147"/>
      <c r="C18" s="147"/>
      <c r="K18" s="236" t="s">
        <v>3912</v>
      </c>
      <c r="L18" s="236"/>
      <c r="N18" s="234"/>
      <c r="O18" s="147"/>
      <c r="P18" s="144"/>
      <c r="Q18" s="4927">
        <v>0.1</v>
      </c>
      <c r="R18" s="4928"/>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3282</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75" customHeight="1">
      <c r="A44" s="147"/>
      <c r="B44" s="147"/>
      <c r="C44" s="147"/>
      <c r="D44" s="147"/>
      <c r="E44" s="144"/>
      <c r="F44" s="147" t="s">
        <v>3323</v>
      </c>
      <c r="G44" s="147"/>
      <c r="H44" s="144"/>
      <c r="I44" s="144"/>
      <c r="J44" s="147" t="s">
        <v>3319</v>
      </c>
      <c r="K44" s="147"/>
      <c r="L44" s="147"/>
      <c r="M44" s="147"/>
      <c r="N44" s="147"/>
      <c r="O44" s="147"/>
      <c r="P44" s="144"/>
      <c r="Q44" s="4913">
        <v>2500</v>
      </c>
      <c r="R44" s="4914"/>
      <c r="S44" s="236"/>
      <c r="T44" s="236"/>
      <c r="U44" s="236"/>
      <c r="AA44" s="68"/>
      <c r="AB44" s="68"/>
    </row>
    <row r="45" spans="1:28" s="145" customFormat="1" ht="11.75" customHeight="1">
      <c r="A45" s="147"/>
      <c r="B45" s="147"/>
      <c r="C45" s="147"/>
      <c r="D45" s="147"/>
      <c r="E45" s="144"/>
      <c r="G45" s="147"/>
      <c r="H45" s="144"/>
      <c r="I45" s="144"/>
      <c r="J45" s="147" t="s">
        <v>3320</v>
      </c>
      <c r="K45" s="147"/>
      <c r="L45" s="147"/>
      <c r="M45" s="147"/>
      <c r="N45" s="147"/>
      <c r="O45" s="147"/>
      <c r="P45" s="144"/>
      <c r="Q45" s="4913">
        <v>2500</v>
      </c>
      <c r="R45" s="4914"/>
      <c r="S45" s="236"/>
      <c r="T45" s="236"/>
      <c r="U45" s="236"/>
      <c r="AA45" s="68"/>
      <c r="AB45" s="68"/>
    </row>
    <row r="46" spans="1:28" s="145" customFormat="1" ht="11.75" customHeight="1">
      <c r="A46" s="147"/>
      <c r="B46" s="147"/>
      <c r="C46" s="147"/>
      <c r="D46" s="147"/>
      <c r="E46" s="144"/>
      <c r="G46" s="147"/>
      <c r="H46" s="144"/>
      <c r="I46" s="144"/>
      <c r="J46" s="147" t="s">
        <v>3321</v>
      </c>
      <c r="K46" s="147"/>
      <c r="L46" s="147"/>
      <c r="M46" s="147"/>
      <c r="N46" s="147"/>
      <c r="O46" s="147"/>
      <c r="P46" s="144"/>
      <c r="Q46" s="4913">
        <v>2000</v>
      </c>
      <c r="R46" s="4914"/>
      <c r="S46" s="236"/>
      <c r="T46" s="236"/>
      <c r="U46" s="236"/>
      <c r="AA46" s="68"/>
      <c r="AB46" s="68"/>
    </row>
    <row r="47" spans="1:28" s="145" customFormat="1" ht="11.75" customHeight="1">
      <c r="A47" s="147"/>
      <c r="B47" s="147"/>
      <c r="C47" s="147"/>
      <c r="D47" s="147"/>
      <c r="E47" s="144"/>
      <c r="G47" s="147"/>
      <c r="H47" s="144"/>
      <c r="I47" s="144"/>
      <c r="J47" s="147" t="s">
        <v>3322</v>
      </c>
      <c r="K47" s="147"/>
      <c r="L47" s="147"/>
      <c r="M47" s="147"/>
      <c r="N47" s="147"/>
      <c r="O47" s="147"/>
      <c r="P47" s="144"/>
      <c r="Q47" s="4916">
        <v>1500</v>
      </c>
      <c r="R47" s="4917"/>
      <c r="S47" s="236"/>
      <c r="T47" s="236"/>
      <c r="U47" s="236"/>
      <c r="AA47" s="68"/>
      <c r="AB47" s="68"/>
    </row>
    <row r="48" spans="1:28" s="145" customFormat="1" ht="11.75" customHeight="1">
      <c r="A48" s="147"/>
      <c r="B48" s="147"/>
      <c r="C48" s="147"/>
      <c r="D48" s="147"/>
      <c r="E48" s="144"/>
      <c r="F48" s="236" t="s">
        <v>6762</v>
      </c>
      <c r="G48" s="147"/>
      <c r="H48" s="144"/>
      <c r="I48" s="144"/>
      <c r="J48" s="147" t="s">
        <v>1126</v>
      </c>
      <c r="K48" s="147"/>
      <c r="L48" s="147"/>
      <c r="M48" s="147"/>
      <c r="N48" s="147"/>
      <c r="O48" s="147"/>
      <c r="P48" s="144"/>
      <c r="Q48" s="4913">
        <v>6500</v>
      </c>
      <c r="R48" s="4914"/>
      <c r="S48" s="236"/>
      <c r="T48" s="236"/>
      <c r="U48" s="236"/>
      <c r="AA48" s="68"/>
      <c r="AB48" s="68"/>
    </row>
    <row r="49" spans="1:28" s="145" customFormat="1" ht="11.75" customHeight="1">
      <c r="A49" s="147"/>
      <c r="B49" s="147"/>
      <c r="C49" s="147"/>
      <c r="D49" s="147"/>
      <c r="E49" s="144"/>
      <c r="F49" s="147" t="s">
        <v>6763</v>
      </c>
      <c r="G49" s="147"/>
      <c r="H49" s="144"/>
      <c r="I49" s="144"/>
      <c r="J49" s="147" t="s">
        <v>1127</v>
      </c>
      <c r="K49" s="147"/>
      <c r="L49" s="147"/>
      <c r="M49" s="147"/>
      <c r="N49" s="147"/>
      <c r="O49" s="147"/>
      <c r="P49" s="144"/>
      <c r="Q49" s="4913">
        <v>5500</v>
      </c>
      <c r="R49" s="4914"/>
      <c r="S49" s="236"/>
      <c r="T49" s="236"/>
      <c r="U49" s="236"/>
      <c r="AA49" s="68"/>
      <c r="AB49" s="68"/>
    </row>
    <row r="50" spans="1:28" s="145" customFormat="1" ht="11.75" customHeight="1">
      <c r="A50" s="147"/>
      <c r="B50" s="147"/>
      <c r="C50" s="147"/>
      <c r="D50" s="147"/>
      <c r="E50" s="144"/>
      <c r="F50" s="147"/>
      <c r="G50" s="147" t="s">
        <v>3774</v>
      </c>
      <c r="H50" s="144"/>
      <c r="I50" s="144"/>
      <c r="J50" s="147" t="s">
        <v>3775</v>
      </c>
      <c r="K50" s="147"/>
      <c r="L50" s="147"/>
      <c r="M50" s="147"/>
      <c r="N50" s="147"/>
      <c r="O50" s="147"/>
      <c r="P50" s="144"/>
      <c r="Q50" s="4913">
        <v>500</v>
      </c>
      <c r="R50" s="4914"/>
      <c r="S50" s="236"/>
      <c r="T50" s="236"/>
      <c r="U50" s="236"/>
      <c r="AA50" s="68"/>
      <c r="AB50" s="68"/>
    </row>
    <row r="51" spans="1:28" s="145" customFormat="1" ht="11.75" customHeight="1">
      <c r="A51" s="147"/>
      <c r="B51" s="147"/>
      <c r="C51" s="147"/>
      <c r="D51" s="147"/>
      <c r="E51" s="144"/>
      <c r="F51" s="147" t="s">
        <v>6761</v>
      </c>
      <c r="G51" s="147"/>
      <c r="H51" s="144"/>
      <c r="I51" s="144"/>
      <c r="J51" s="147" t="s">
        <v>1126</v>
      </c>
      <c r="K51" s="147"/>
      <c r="L51" s="147"/>
      <c r="M51" s="147"/>
      <c r="N51" s="147"/>
      <c r="O51" s="147"/>
      <c r="P51" s="144"/>
      <c r="Q51" s="4913">
        <v>10000</v>
      </c>
      <c r="R51" s="4914"/>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75" customHeight="1">
      <c r="A53" s="147"/>
      <c r="B53" s="147"/>
      <c r="C53" s="147"/>
      <c r="D53" s="147"/>
      <c r="E53" s="144"/>
      <c r="F53" s="147" t="s">
        <v>3317</v>
      </c>
      <c r="G53" s="147"/>
      <c r="H53" s="144"/>
      <c r="I53" s="144"/>
      <c r="J53" s="147"/>
      <c r="K53" s="147"/>
      <c r="L53" s="147"/>
      <c r="M53" s="147"/>
      <c r="N53" s="147"/>
      <c r="O53" s="147"/>
      <c r="P53" s="144"/>
      <c r="Q53" s="4913">
        <v>1500</v>
      </c>
      <c r="R53" s="4914"/>
      <c r="S53" s="236"/>
      <c r="T53" s="236"/>
      <c r="U53" s="236"/>
      <c r="AA53" s="68"/>
      <c r="AB53" s="68"/>
    </row>
    <row r="54" spans="1:28" s="145" customFormat="1" ht="11.75" customHeight="1">
      <c r="A54" s="147"/>
      <c r="B54" s="147"/>
      <c r="C54" s="147"/>
      <c r="D54" s="147"/>
      <c r="E54" s="144"/>
      <c r="F54" s="147" t="s">
        <v>6764</v>
      </c>
      <c r="G54" s="147"/>
      <c r="H54" s="144"/>
      <c r="I54" s="144"/>
      <c r="J54" s="147" t="s">
        <v>6765</v>
      </c>
      <c r="K54" s="147"/>
      <c r="L54" s="147"/>
      <c r="M54" s="147"/>
      <c r="N54" s="147"/>
      <c r="O54" s="147"/>
      <c r="P54" s="144"/>
      <c r="Q54" s="4913">
        <v>1500</v>
      </c>
      <c r="R54" s="4914"/>
      <c r="S54" s="236"/>
      <c r="T54" s="236"/>
      <c r="U54" s="236"/>
      <c r="AA54" s="68"/>
      <c r="AB54" s="68"/>
    </row>
    <row r="55" spans="1:28" s="145" customFormat="1" ht="11.75" customHeight="1">
      <c r="A55" s="147"/>
      <c r="C55" s="147"/>
      <c r="D55" s="144"/>
      <c r="E55" s="144"/>
      <c r="F55" s="147" t="s">
        <v>6766</v>
      </c>
      <c r="H55" s="147"/>
      <c r="I55" s="144"/>
      <c r="J55" s="147"/>
      <c r="K55" s="147"/>
      <c r="L55" s="147"/>
      <c r="M55" s="147"/>
      <c r="N55" s="147"/>
      <c r="O55" s="147"/>
      <c r="P55" s="144"/>
      <c r="Q55" s="4913">
        <v>2500</v>
      </c>
      <c r="R55" s="4914"/>
      <c r="S55" s="236"/>
      <c r="T55" s="236"/>
      <c r="U55" s="236"/>
      <c r="AA55" s="68"/>
      <c r="AB55" s="68"/>
    </row>
    <row r="56" spans="1:28" s="145" customFormat="1" ht="11.75" customHeight="1">
      <c r="A56" s="147"/>
      <c r="C56" s="147"/>
      <c r="D56" s="144"/>
      <c r="E56" s="144"/>
      <c r="F56" s="147" t="s">
        <v>6767</v>
      </c>
      <c r="H56" s="147"/>
      <c r="I56" s="144"/>
      <c r="J56" s="147" t="s">
        <v>889</v>
      </c>
      <c r="K56" s="147"/>
      <c r="L56" s="147"/>
      <c r="M56" s="147"/>
      <c r="N56" s="147"/>
      <c r="O56" s="147"/>
      <c r="P56" s="144"/>
      <c r="Q56" s="4915">
        <v>0.08</v>
      </c>
      <c r="R56" s="4915"/>
      <c r="S56" s="236"/>
      <c r="T56" s="236"/>
      <c r="U56" s="236"/>
      <c r="AA56" s="68"/>
      <c r="AB56" s="68"/>
    </row>
    <row r="57" spans="1:28" s="145" customFormat="1" ht="11.75" customHeight="1">
      <c r="A57" s="147"/>
      <c r="C57" s="147"/>
      <c r="D57" s="144"/>
      <c r="E57" s="144"/>
      <c r="F57" s="147" t="s">
        <v>6101</v>
      </c>
      <c r="H57" s="147"/>
      <c r="I57" s="144"/>
      <c r="J57" s="147" t="s">
        <v>889</v>
      </c>
      <c r="K57" s="147"/>
      <c r="L57" s="147"/>
      <c r="M57" s="147"/>
      <c r="N57" s="147"/>
      <c r="O57" s="147"/>
      <c r="P57" s="144"/>
      <c r="Q57" s="4915">
        <v>0.08</v>
      </c>
      <c r="R57" s="4915"/>
      <c r="S57" s="236"/>
      <c r="T57" s="236"/>
      <c r="U57" s="236"/>
      <c r="AA57" s="68"/>
      <c r="AB57" s="68"/>
    </row>
    <row r="58" spans="1:28" s="145" customFormat="1" ht="11.75" customHeight="1">
      <c r="A58" s="147"/>
      <c r="B58" s="147"/>
      <c r="C58" s="147"/>
      <c r="D58" s="144"/>
      <c r="E58" s="144"/>
      <c r="F58" s="147" t="s">
        <v>6768</v>
      </c>
      <c r="I58" s="144"/>
      <c r="J58" s="147" t="s">
        <v>1638</v>
      </c>
      <c r="K58" s="147"/>
      <c r="L58" s="147"/>
      <c r="M58" s="147"/>
      <c r="N58" s="147"/>
      <c r="O58" s="147"/>
      <c r="P58" s="144"/>
      <c r="Q58" s="4913">
        <v>8000</v>
      </c>
      <c r="R58" s="4914"/>
      <c r="S58" s="236"/>
      <c r="T58" s="236"/>
      <c r="U58" s="236"/>
      <c r="AA58" s="68"/>
      <c r="AB58" s="68"/>
    </row>
    <row r="59" spans="1:28" s="145" customFormat="1" ht="11.75" customHeight="1">
      <c r="A59" s="147"/>
      <c r="C59" s="147"/>
      <c r="D59" s="144"/>
      <c r="E59" s="144"/>
      <c r="F59" s="147" t="s">
        <v>3776</v>
      </c>
      <c r="H59" s="147"/>
      <c r="I59" s="144"/>
      <c r="J59" s="147"/>
      <c r="K59" s="147"/>
      <c r="L59" s="147"/>
      <c r="M59" s="147"/>
      <c r="N59" s="147"/>
      <c r="O59" s="147"/>
      <c r="P59" s="144"/>
      <c r="Q59" s="4913"/>
      <c r="R59" s="4914"/>
      <c r="S59" s="236"/>
      <c r="T59" s="236"/>
      <c r="U59" s="236"/>
      <c r="AA59" s="68"/>
      <c r="AB59" s="68"/>
    </row>
    <row r="60" spans="1:28" s="145" customFormat="1" ht="11.75" customHeight="1">
      <c r="A60" s="147"/>
      <c r="C60" s="147" t="s">
        <v>6769</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75" customHeight="1">
      <c r="A61" s="147"/>
      <c r="C61" s="147"/>
      <c r="D61" s="144"/>
      <c r="E61" s="144"/>
      <c r="F61" s="147"/>
      <c r="H61" s="147"/>
      <c r="I61" s="147" t="s">
        <v>3777</v>
      </c>
      <c r="J61" s="147" t="s">
        <v>1432</v>
      </c>
      <c r="K61" s="147"/>
      <c r="L61" s="147"/>
      <c r="M61" s="147"/>
      <c r="N61" s="147"/>
      <c r="O61" s="147"/>
      <c r="P61" s="144"/>
      <c r="Q61" s="4942">
        <v>1000</v>
      </c>
      <c r="R61" s="4943"/>
      <c r="S61" s="236"/>
      <c r="T61" s="236"/>
      <c r="U61" s="236"/>
      <c r="AA61" s="68"/>
      <c r="AB61" s="68"/>
    </row>
    <row r="62" spans="1:28" s="145" customFormat="1" ht="11.75" customHeight="1">
      <c r="A62" s="147"/>
      <c r="B62" s="147"/>
      <c r="C62" s="147"/>
      <c r="D62" s="144"/>
      <c r="E62" s="144"/>
      <c r="H62" s="147" t="s">
        <v>2447</v>
      </c>
      <c r="I62" s="144"/>
      <c r="J62" s="147" t="s">
        <v>1432</v>
      </c>
      <c r="K62" s="147" t="s">
        <v>3297</v>
      </c>
      <c r="L62" s="147"/>
      <c r="M62" s="147"/>
      <c r="N62" s="147"/>
      <c r="O62" s="147"/>
      <c r="P62" s="144"/>
      <c r="Q62" s="4942">
        <v>800</v>
      </c>
      <c r="R62" s="4943"/>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75" customHeight="1">
      <c r="A64" s="147"/>
      <c r="B64" s="147"/>
      <c r="C64" s="147"/>
      <c r="D64" s="144"/>
      <c r="E64" s="144"/>
      <c r="F64" s="147" t="s">
        <v>3412</v>
      </c>
      <c r="I64" s="144"/>
      <c r="J64" s="147" t="s">
        <v>3778</v>
      </c>
      <c r="K64" s="147"/>
      <c r="L64" s="147"/>
      <c r="M64" s="147"/>
      <c r="N64" s="147"/>
      <c r="O64" s="147"/>
      <c r="P64" s="144"/>
      <c r="Q64" s="4563">
        <v>750</v>
      </c>
      <c r="R64" s="4564"/>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9"/>
      <c r="I69" s="165"/>
      <c r="J69" s="1520">
        <v>71</v>
      </c>
      <c r="K69" s="1521"/>
      <c r="L69" s="165"/>
      <c r="M69" s="165"/>
      <c r="N69" s="165"/>
      <c r="O69" s="165"/>
      <c r="P69" s="1522"/>
      <c r="Q69" s="4945">
        <v>16500</v>
      </c>
      <c r="R69" s="4945"/>
      <c r="AA69"/>
      <c r="AB69"/>
    </row>
    <row r="70" spans="1:28" ht="11.25" customHeight="1">
      <c r="H70" s="1523">
        <v>0.04</v>
      </c>
      <c r="I70" s="1524"/>
      <c r="J70" s="1525">
        <v>1</v>
      </c>
      <c r="K70" s="1525">
        <v>50</v>
      </c>
      <c r="L70" s="1524"/>
      <c r="M70" s="1524"/>
      <c r="N70" s="1524"/>
      <c r="O70" s="1524"/>
      <c r="P70" s="1526"/>
      <c r="Q70" s="4944">
        <v>27500</v>
      </c>
      <c r="R70" s="4944"/>
      <c r="AA70"/>
      <c r="AB70"/>
    </row>
    <row r="71" spans="1:28" ht="11.25" customHeight="1">
      <c r="H71" s="1296"/>
      <c r="J71" s="392">
        <v>51</v>
      </c>
      <c r="K71" s="392">
        <v>70</v>
      </c>
      <c r="Q71" s="4922">
        <v>22000</v>
      </c>
      <c r="R71" s="4922"/>
      <c r="AA71"/>
      <c r="AB71"/>
    </row>
    <row r="72" spans="1:28" ht="11.25" customHeight="1">
      <c r="H72" s="1296"/>
      <c r="J72" s="392">
        <v>71</v>
      </c>
      <c r="K72" s="1296"/>
      <c r="Q72" s="4945">
        <v>16500</v>
      </c>
      <c r="R72" s="4945"/>
      <c r="AA72"/>
      <c r="AB72"/>
    </row>
    <row r="73" spans="1:28" ht="11.25" customHeight="1">
      <c r="F73" s="236" t="s">
        <v>3915</v>
      </c>
      <c r="H73" s="370"/>
      <c r="I73" s="44"/>
      <c r="AA73"/>
      <c r="AB73"/>
    </row>
    <row r="74" spans="1:28" ht="11.25" customHeight="1">
      <c r="H74" s="1297">
        <v>0.09</v>
      </c>
      <c r="I74" s="236"/>
      <c r="Q74" s="4946">
        <v>2000000</v>
      </c>
      <c r="R74" s="4946"/>
      <c r="AA74"/>
      <c r="AB74"/>
    </row>
    <row r="75" spans="1:28" ht="11.25" customHeight="1">
      <c r="H75" s="1297">
        <v>0.04</v>
      </c>
      <c r="I75" s="236"/>
      <c r="Q75" s="4946">
        <v>3500000</v>
      </c>
      <c r="R75" s="4946"/>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idden="1">
      <c r="A79" s="147"/>
      <c r="B79" s="314"/>
      <c r="C79" s="147"/>
      <c r="D79" s="144"/>
      <c r="E79" s="144"/>
      <c r="F79" s="147"/>
      <c r="G79" s="147"/>
      <c r="H79" s="147" t="s">
        <v>3162</v>
      </c>
      <c r="I79" s="147" t="s">
        <v>908</v>
      </c>
      <c r="J79" s="147" t="s">
        <v>910</v>
      </c>
      <c r="K79" s="147"/>
      <c r="L79" s="147"/>
      <c r="M79" s="147"/>
      <c r="N79" s="147"/>
      <c r="O79" s="147"/>
      <c r="P79" s="144"/>
      <c r="Q79" s="4920">
        <v>0.15</v>
      </c>
      <c r="R79" s="4921"/>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5" customHeight="1">
      <c r="A98" s="147"/>
      <c r="B98" s="147" t="s">
        <v>952</v>
      </c>
      <c r="C98" s="147"/>
      <c r="D98" s="144"/>
      <c r="E98" s="144"/>
      <c r="F98" s="144"/>
      <c r="G98" s="147"/>
      <c r="H98" s="144"/>
      <c r="I98" s="144"/>
      <c r="J98" s="147" t="s">
        <v>6758</v>
      </c>
      <c r="K98" s="147"/>
      <c r="L98" s="147"/>
      <c r="M98" s="147"/>
      <c r="N98" s="147"/>
      <c r="O98" s="147"/>
      <c r="P98" s="144"/>
      <c r="Q98" s="4911">
        <v>0.02</v>
      </c>
      <c r="R98" s="4911"/>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25"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75" customHeight="1">
      <c r="A107" s="229"/>
      <c r="B107" s="147"/>
      <c r="C107" s="147"/>
      <c r="D107" s="144"/>
      <c r="E107" s="144"/>
      <c r="F107" s="147"/>
      <c r="G107" s="147" t="s">
        <v>3306</v>
      </c>
      <c r="I107" s="144"/>
      <c r="J107" s="147" t="s">
        <v>3307</v>
      </c>
      <c r="K107" s="147"/>
      <c r="L107" s="147"/>
      <c r="M107" s="147"/>
      <c r="N107" s="147"/>
      <c r="O107" s="147"/>
      <c r="P107" s="144"/>
      <c r="Q107" s="4937">
        <v>1225000</v>
      </c>
      <c r="R107" s="4937"/>
      <c r="S107" s="144"/>
      <c r="T107" s="144"/>
      <c r="U107" s="144"/>
      <c r="V107" s="715"/>
      <c r="W107" s="715"/>
      <c r="X107" s="148"/>
      <c r="AA107" s="68"/>
      <c r="AB107" s="68"/>
    </row>
    <row r="108" spans="1:28" s="145" customFormat="1" ht="11.75" customHeight="1">
      <c r="A108" s="147"/>
      <c r="B108" s="147"/>
      <c r="C108" s="147"/>
      <c r="D108" s="144"/>
      <c r="E108" s="144"/>
      <c r="F108" s="147"/>
      <c r="G108" s="147" t="s">
        <v>6505</v>
      </c>
      <c r="H108" s="147" t="s">
        <v>6759</v>
      </c>
      <c r="J108" s="147" t="s">
        <v>6514</v>
      </c>
      <c r="K108" s="147"/>
      <c r="L108" s="147"/>
      <c r="M108" s="147"/>
      <c r="O108" s="147" t="s">
        <v>6508</v>
      </c>
      <c r="P108" s="144"/>
      <c r="Q108" s="4938">
        <v>1105000</v>
      </c>
      <c r="R108" s="4938"/>
      <c r="S108" s="230"/>
      <c r="T108" s="230"/>
      <c r="U108" s="144"/>
      <c r="V108" s="322"/>
      <c r="W108" s="322"/>
      <c r="X108" s="322"/>
      <c r="AA108" s="68"/>
      <c r="AB108" s="68"/>
    </row>
    <row r="109" spans="1:28" s="145" customFormat="1" ht="11.75" customHeight="1">
      <c r="A109" s="147"/>
      <c r="B109" s="147"/>
      <c r="C109" s="147"/>
      <c r="D109" s="144"/>
      <c r="E109" s="144"/>
      <c r="F109" s="147"/>
      <c r="G109" s="147"/>
      <c r="H109" s="147" t="s">
        <v>6099</v>
      </c>
      <c r="J109" s="147" t="s">
        <v>6514</v>
      </c>
      <c r="K109" s="147"/>
      <c r="L109" s="147"/>
      <c r="M109" s="147"/>
      <c r="O109" s="147" t="s">
        <v>6508</v>
      </c>
      <c r="P109" s="144"/>
      <c r="Q109" s="4912">
        <v>1225000</v>
      </c>
      <c r="R109" s="4912"/>
      <c r="S109" s="230"/>
      <c r="T109" s="230"/>
      <c r="U109" s="144"/>
      <c r="V109" s="322"/>
      <c r="W109" s="322"/>
      <c r="X109" s="322"/>
      <c r="AA109" s="68"/>
      <c r="AB109" s="68"/>
    </row>
    <row r="110" spans="1:28" s="145" customFormat="1" ht="11.75" customHeight="1">
      <c r="A110" s="147"/>
      <c r="B110" s="147"/>
      <c r="C110" s="147"/>
      <c r="D110" s="144"/>
      <c r="E110" s="144"/>
      <c r="F110" s="147"/>
      <c r="G110" s="147"/>
      <c r="H110" s="147" t="s">
        <v>6507</v>
      </c>
      <c r="I110" s="144"/>
      <c r="J110" s="147" t="s">
        <v>6514</v>
      </c>
      <c r="K110" s="147"/>
      <c r="O110" s="147" t="s">
        <v>6509</v>
      </c>
      <c r="Q110" s="4912">
        <v>1105000</v>
      </c>
      <c r="R110" s="4912"/>
      <c r="S110" s="230"/>
      <c r="T110" s="230"/>
      <c r="U110" s="144"/>
      <c r="V110" s="322"/>
      <c r="W110" s="322"/>
      <c r="X110" s="322"/>
      <c r="AA110" s="68"/>
      <c r="AB110" s="68"/>
    </row>
    <row r="111" spans="1:28" s="145" customFormat="1" ht="11.75" customHeight="1">
      <c r="A111" s="147"/>
      <c r="B111" s="147"/>
      <c r="C111" s="147"/>
      <c r="D111" s="144"/>
      <c r="E111" s="144"/>
      <c r="F111" s="147"/>
      <c r="G111" s="147"/>
      <c r="H111" s="147" t="s">
        <v>6506</v>
      </c>
      <c r="I111" s="144"/>
      <c r="J111" s="147" t="s">
        <v>6514</v>
      </c>
      <c r="K111" s="147"/>
      <c r="O111" s="147" t="s">
        <v>6508</v>
      </c>
      <c r="Q111" s="4940">
        <v>1105000</v>
      </c>
      <c r="R111" s="4941"/>
      <c r="S111" s="230"/>
      <c r="T111" s="230"/>
      <c r="U111" s="144"/>
      <c r="V111" s="322"/>
      <c r="W111" s="322"/>
      <c r="X111" s="322"/>
      <c r="AA111" s="68"/>
      <c r="AB111" s="68"/>
    </row>
    <row r="112" spans="1:28" s="145" customFormat="1" ht="11.75" customHeight="1">
      <c r="A112" s="147"/>
      <c r="B112" s="147"/>
      <c r="C112" s="147"/>
      <c r="D112" s="144"/>
      <c r="E112" s="144"/>
      <c r="F112" s="147"/>
      <c r="G112" s="147" t="s">
        <v>3772</v>
      </c>
      <c r="I112" s="144"/>
      <c r="J112" s="147" t="s">
        <v>6514</v>
      </c>
      <c r="K112" s="147"/>
      <c r="L112" s="147"/>
      <c r="M112" s="147"/>
      <c r="O112" s="147" t="s">
        <v>6510</v>
      </c>
      <c r="P112" s="144"/>
      <c r="Q112" s="4934">
        <v>1150000</v>
      </c>
      <c r="R112" s="4934"/>
      <c r="S112" s="230"/>
      <c r="T112" s="230"/>
      <c r="U112" s="144"/>
      <c r="V112" s="322"/>
      <c r="W112" s="322"/>
      <c r="X112" s="322"/>
      <c r="AA112" s="68"/>
      <c r="AB112" s="68"/>
    </row>
    <row r="113" spans="1:28" s="145" customFormat="1" ht="11.75" customHeight="1">
      <c r="A113" s="147"/>
      <c r="B113" s="147"/>
      <c r="C113" s="147"/>
      <c r="D113" s="144"/>
      <c r="E113" s="144"/>
      <c r="F113" s="147"/>
      <c r="G113" s="147" t="s">
        <v>6124</v>
      </c>
      <c r="H113" s="225" t="s">
        <v>2510</v>
      </c>
      <c r="I113" s="144"/>
      <c r="J113" s="225" t="s">
        <v>2445</v>
      </c>
      <c r="K113" s="147"/>
      <c r="L113" s="147"/>
      <c r="M113" s="147"/>
      <c r="O113" s="147"/>
      <c r="P113" s="144"/>
      <c r="Q113" s="4954" t="s">
        <v>6760</v>
      </c>
      <c r="R113" s="4954"/>
      <c r="S113" s="230"/>
      <c r="T113" s="230"/>
      <c r="U113" s="144"/>
      <c r="V113" s="322"/>
      <c r="W113" s="322"/>
      <c r="X113" s="322"/>
      <c r="AA113" s="68"/>
      <c r="AB113" s="68"/>
    </row>
    <row r="114" spans="1:28" ht="12.75" customHeight="1">
      <c r="G114" s="2009"/>
      <c r="H114" s="147" t="s">
        <v>2392</v>
      </c>
      <c r="J114" s="4965">
        <v>0.35</v>
      </c>
      <c r="K114" s="4965"/>
      <c r="L114" s="147"/>
      <c r="M114" s="147"/>
      <c r="N114" s="147"/>
      <c r="O114" s="147"/>
      <c r="P114" s="144"/>
      <c r="Q114" s="4939">
        <v>1105000</v>
      </c>
      <c r="R114" s="4939"/>
    </row>
    <row r="115" spans="1:28" ht="11.25" customHeight="1">
      <c r="G115" s="147"/>
      <c r="H115" s="147" t="s">
        <v>6100</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5" customHeight="1">
      <c r="A118" s="147"/>
      <c r="B118" s="147"/>
      <c r="C118" s="147"/>
      <c r="D118" s="144"/>
      <c r="E118" s="144"/>
      <c r="G118" s="147" t="s">
        <v>6513</v>
      </c>
      <c r="H118" s="147"/>
      <c r="I118" s="144"/>
      <c r="J118" s="147" t="s">
        <v>6515</v>
      </c>
      <c r="K118" s="147"/>
      <c r="L118" s="147"/>
      <c r="M118" s="147"/>
      <c r="N118" s="147"/>
      <c r="O118" s="147"/>
      <c r="P118" s="144"/>
      <c r="Q118" s="4935"/>
      <c r="R118" s="4936"/>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3313</v>
      </c>
      <c r="K119" s="147"/>
      <c r="L119" s="147"/>
      <c r="M119" s="147"/>
      <c r="N119" s="147"/>
      <c r="O119" s="147"/>
      <c r="P119" s="144"/>
      <c r="Q119" s="4969">
        <v>4000000</v>
      </c>
      <c r="R119" s="4969"/>
      <c r="S119" s="230"/>
      <c r="T119" s="230"/>
      <c r="U119" s="144"/>
      <c r="V119" s="322"/>
      <c r="W119" s="322"/>
      <c r="X119" s="322"/>
      <c r="AA119" s="68"/>
      <c r="AB119" s="68"/>
    </row>
    <row r="120" spans="1:28" s="145" customFormat="1" ht="11.75" customHeight="1">
      <c r="A120" s="147"/>
      <c r="B120" s="147"/>
      <c r="C120" s="147"/>
      <c r="D120" s="144"/>
      <c r="E120" s="144"/>
      <c r="F120" s="147"/>
      <c r="G120" s="147" t="s">
        <v>6512</v>
      </c>
      <c r="H120" s="144"/>
      <c r="I120" s="144"/>
      <c r="J120" s="147" t="s">
        <v>6514</v>
      </c>
      <c r="K120" s="147"/>
      <c r="O120" s="147" t="s">
        <v>6508</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6756</v>
      </c>
      <c r="B125" s="4970"/>
      <c r="C125" s="2002"/>
      <c r="D125" s="4972"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25" customHeight="1">
      <c r="A126" s="4970"/>
      <c r="B126" s="4970"/>
      <c r="C126" s="2001">
        <v>2022</v>
      </c>
      <c r="D126" s="4973"/>
      <c r="E126" s="239"/>
      <c r="F126" s="239"/>
      <c r="G126" s="239"/>
      <c r="H126" s="239"/>
      <c r="I126" s="239"/>
    </row>
    <row r="127" spans="1:28">
      <c r="A127" s="4970"/>
      <c r="B127" s="4970"/>
      <c r="C127" s="147"/>
      <c r="D127" s="4973"/>
      <c r="H127" s="4967" t="s">
        <v>6754</v>
      </c>
      <c r="J127" s="142" t="s">
        <v>748</v>
      </c>
      <c r="K127" s="142"/>
      <c r="L127" s="223"/>
    </row>
    <row r="128" spans="1:28">
      <c r="C128" s="715" t="s">
        <v>751</v>
      </c>
      <c r="D128" s="1304" t="s">
        <v>2995</v>
      </c>
      <c r="F128" s="715" t="s">
        <v>6752</v>
      </c>
      <c r="H128" s="4968"/>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4057</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3961</v>
      </c>
      <c r="D303" s="4950" t="s">
        <v>3962</v>
      </c>
      <c r="E303" s="4950" t="s">
        <v>3963</v>
      </c>
      <c r="F303" s="4950" t="s">
        <v>3964</v>
      </c>
      <c r="G303" s="4947" t="s">
        <v>3961</v>
      </c>
      <c r="H303" s="4950" t="s">
        <v>3962</v>
      </c>
      <c r="I303" s="4950" t="s">
        <v>3963</v>
      </c>
      <c r="J303" s="4950" t="s">
        <v>3964</v>
      </c>
      <c r="L303" s="4947" t="s">
        <v>3961</v>
      </c>
      <c r="M303" s="4950" t="s">
        <v>3962</v>
      </c>
      <c r="N303" s="4950" t="s">
        <v>3963</v>
      </c>
      <c r="O303" s="4950" t="s">
        <v>3964</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357" bestFit="1" customWidth="1"/>
    <col min="9" max="9" width="14.33203125" style="357" bestFit="1" customWidth="1"/>
    <col min="10" max="17" width="9.33203125" style="357" bestFit="1" customWidth="1"/>
    <col min="18" max="18" width="9.1640625" style="357"/>
    <col min="19" max="21" width="9.33203125" style="357" bestFit="1" customWidth="1"/>
    <col min="22" max="22" width="9.83203125" style="357" bestFit="1" customWidth="1"/>
    <col min="23" max="23" width="9.33203125" style="357" bestFit="1" customWidth="1"/>
    <col min="24" max="24" width="11.33203125" style="357" bestFit="1" customWidth="1"/>
    <col min="25" max="359" width="9.33203125" style="357" bestFit="1" customWidth="1"/>
    <col min="360" max="16384" width="9.1640625" style="357"/>
  </cols>
  <sheetData>
    <row r="1" spans="1:26">
      <c r="A1" s="2614" t="str">
        <f>CONCATENATE("PART ONE - PROJECT INFORMATION"," - ",$O$7," ",$F$25,", ",'Part I-Project Identification'!F25,", ",'Part I-Project Identification'!J25," County")</f>
        <v>PART ONE - PROJECT INFORMATION -  Atlanta, Fairhaven on Campbellton,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6948</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6949</v>
      </c>
      <c r="H5" s="1819"/>
      <c r="I5" s="1819"/>
      <c r="J5" s="1819"/>
      <c r="K5" s="1819"/>
      <c r="L5" s="2615"/>
      <c r="M5" s="1819"/>
      <c r="N5" s="1819"/>
      <c r="O5" s="1819"/>
      <c r="P5" s="2620" t="s">
        <v>3289</v>
      </c>
    </row>
    <row r="6" spans="1:26" ht="14.25" customHeight="1">
      <c r="A6" s="2618"/>
      <c r="B6" s="2618"/>
      <c r="C6" s="2618"/>
      <c r="D6" s="2618"/>
      <c r="E6" s="2621"/>
      <c r="F6" s="2615"/>
      <c r="G6" s="2619" t="s">
        <v>6950</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1225000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c r="A11" s="2624" t="s">
        <v>689</v>
      </c>
      <c r="B11" s="2614" t="s">
        <v>1891</v>
      </c>
      <c r="C11" s="1819"/>
      <c r="D11" s="1819"/>
      <c r="E11" s="1819"/>
      <c r="F11" s="2626" t="str">
        <f>'Part I-Project Identification'!F12</f>
        <v>9% Credit Competitive Round only</v>
      </c>
      <c r="G11" s="2626"/>
      <c r="H11" s="2626"/>
      <c r="I11" s="2627" t="s">
        <v>6951</v>
      </c>
      <c r="J11" s="2614" t="s">
        <v>6952</v>
      </c>
      <c r="K11" s="2614"/>
      <c r="L11" s="1622"/>
      <c r="M11" s="1819"/>
      <c r="N11" s="1819"/>
      <c r="O11" s="1819" t="str">
        <f>'Part I-Project Identification'!O12</f>
        <v>2023PA-066</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Commonwealth Development Corporation of America</v>
      </c>
      <c r="G14" s="1819"/>
      <c r="H14" s="1819"/>
      <c r="I14" s="1819" t="s">
        <v>1670</v>
      </c>
      <c r="J14" s="1819" t="str">
        <f>'Part I-Project Identification'!J15</f>
        <v>Sean Brady</v>
      </c>
      <c r="K14" s="1819"/>
      <c r="L14" s="1819"/>
      <c r="M14" s="2623" t="s">
        <v>1839</v>
      </c>
      <c r="N14" s="1819" t="str">
        <f>'Part I-Project Identification'!N15</f>
        <v>Vice President of Development</v>
      </c>
      <c r="O14" s="1819"/>
      <c r="P14" s="1819"/>
    </row>
    <row r="15" spans="1:26" s="1819" customFormat="1" ht="12.75" customHeight="1">
      <c r="B15" s="2623" t="s">
        <v>1599</v>
      </c>
      <c r="F15" s="2628">
        <f>'Part I-Project Identification'!F16</f>
        <v>4044066697</v>
      </c>
      <c r="G15" s="2628"/>
      <c r="H15" s="2628"/>
      <c r="I15" s="2623" t="s">
        <v>1598</v>
      </c>
      <c r="J15" s="2629">
        <f>'Part I-Project Identification'!J16</f>
        <v>0</v>
      </c>
      <c r="M15" s="2623" t="s">
        <v>1600</v>
      </c>
      <c r="N15" s="2628">
        <f>'Part I-Project Identification'!N16</f>
        <v>4044066697</v>
      </c>
      <c r="O15" s="2628"/>
      <c r="P15" s="2628"/>
      <c r="Q15" s="357"/>
      <c r="R15" s="357"/>
      <c r="S15" s="357"/>
      <c r="V15" s="2630"/>
      <c r="W15" s="2630"/>
      <c r="X15" s="2630"/>
      <c r="Z15" s="1622">
        <v>18</v>
      </c>
    </row>
    <row r="16" spans="1:26" s="1819" customFormat="1">
      <c r="B16" s="2623" t="s">
        <v>1842</v>
      </c>
      <c r="F16" s="2631" t="str">
        <f>'Part I-Project Identification'!F17</f>
        <v>s.brady@commonwealthco.net</v>
      </c>
      <c r="G16" s="2631"/>
      <c r="H16" s="2631"/>
      <c r="I16" s="2631"/>
      <c r="J16" s="2631"/>
      <c r="K16" s="2631"/>
      <c r="L16" s="2631"/>
      <c r="M16" s="2623" t="s">
        <v>1838</v>
      </c>
      <c r="N16" s="2628">
        <f>'Part I-Project Identification'!N17</f>
        <v>4044066697</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Commonwealth Development Corporation of America</v>
      </c>
      <c r="G18" s="1819"/>
      <c r="H18" s="1819"/>
      <c r="I18" s="1819" t="s">
        <v>1670</v>
      </c>
      <c r="J18" s="1819" t="str">
        <f>'Part I-Project Identification'!J19</f>
        <v>Dan Kroetz</v>
      </c>
      <c r="K18" s="1819"/>
      <c r="L18" s="1819"/>
      <c r="M18" s="2623" t="s">
        <v>1839</v>
      </c>
      <c r="N18" s="1819" t="str">
        <f>'Part I-Project Identification'!N19</f>
        <v>Senior Vice President</v>
      </c>
      <c r="O18" s="1819"/>
      <c r="P18" s="1819"/>
    </row>
    <row r="19" spans="1:26" s="1819" customFormat="1" ht="12.75" customHeight="1">
      <c r="B19" s="2623" t="s">
        <v>1599</v>
      </c>
      <c r="F19" s="2628">
        <f>'Part I-Project Identification'!F20</f>
        <v>6086880758</v>
      </c>
      <c r="G19" s="2628"/>
      <c r="H19" s="2628"/>
      <c r="I19" s="2623" t="s">
        <v>1598</v>
      </c>
      <c r="J19" s="2629">
        <f>'Part I-Project Identification'!J20</f>
        <v>0</v>
      </c>
      <c r="M19" s="2623" t="s">
        <v>1600</v>
      </c>
      <c r="N19" s="2628">
        <f>'Part I-Project Identification'!N20</f>
        <v>6086880758</v>
      </c>
      <c r="O19" s="2628"/>
      <c r="P19" s="2628"/>
      <c r="Q19" s="357"/>
      <c r="R19" s="357"/>
      <c r="S19" s="357"/>
      <c r="V19" s="2630"/>
      <c r="W19" s="2630"/>
      <c r="X19" s="2630"/>
      <c r="Z19" s="1622">
        <v>18</v>
      </c>
    </row>
    <row r="20" spans="1:26" s="1819" customFormat="1">
      <c r="B20" s="2623" t="s">
        <v>1842</v>
      </c>
      <c r="F20" s="2631" t="str">
        <f>'Part I-Project Identification'!F21</f>
        <v>d.kroetz@commonwealthco.net</v>
      </c>
      <c r="G20" s="2631"/>
      <c r="H20" s="2631"/>
      <c r="I20" s="2631"/>
      <c r="J20" s="2631"/>
      <c r="K20" s="2631"/>
      <c r="L20" s="2631"/>
      <c r="M20" s="2623" t="s">
        <v>1838</v>
      </c>
      <c r="N20" s="2628">
        <f>'Part I-Project Identification'!N21</f>
        <v>6084388415</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Fairhaven on Campbellton</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Atlanta</v>
      </c>
      <c r="G25" s="1819"/>
      <c r="H25" s="1819"/>
      <c r="I25" s="2632" t="s">
        <v>576</v>
      </c>
      <c r="J25" s="1819" t="str">
        <f>'Part I-Project Identification'!J26</f>
        <v>Fulton</v>
      </c>
      <c r="K25" s="1819"/>
      <c r="L25" s="1819"/>
      <c r="M25" s="2623" t="s">
        <v>426</v>
      </c>
      <c r="N25" s="1819"/>
      <c r="O25" s="1819"/>
      <c r="P25" s="2545" t="str">
        <f>'Part I-Project Identification'!P26</f>
        <v>No</v>
      </c>
    </row>
    <row r="26" spans="1:26">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5.27</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6">
      <c r="A40" s="2639" t="str">
        <f>'Part I-Project Identification'!A41</f>
        <v xml:space="preserve">Applicant is Commonwealth Development Corporation of America.  Certifying Developer and General Partner is Louie A. Lange, III, a Principal of Commonwealth Development Corporation of America and of the ownership entities for Fairhaven on Campbellton (Fairhaven on Campbellton, LLC).  Louie A. Lange, III was determined by DCA to be "Qualified" in 2020, 2021, 2022, and 2023.  The Applicant has not submitted any other applications to DCA for consideration in the 2023  9% competitive round.  Development was renamed from "Fairhaven Green" at application to "Fairhaven on Campbellton" at full application submission, although project location and  development type and targeting have not changed.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Fairhaven on Campbellton, Atlanta, Fulton County</v>
      </c>
      <c r="B45" s="2614"/>
      <c r="C45" s="2614"/>
      <c r="D45" s="2614"/>
      <c r="E45" s="2614"/>
      <c r="F45" s="2614"/>
      <c r="G45" s="2614"/>
      <c r="H45" s="2614"/>
      <c r="I45" s="2614"/>
      <c r="J45" s="2614"/>
      <c r="K45" s="2614"/>
      <c r="L45" s="2614"/>
      <c r="M45" s="2614"/>
      <c r="N45" s="2614"/>
      <c r="O45" s="2614"/>
      <c r="P45" s="2614"/>
      <c r="Q45" s="2614"/>
    </row>
    <row r="46" spans="1:17">
      <c r="A46" s="378"/>
      <c r="B46" s="378"/>
      <c r="C46" s="378"/>
      <c r="D46" s="378"/>
      <c r="E46" s="378"/>
      <c r="F46" s="378"/>
      <c r="G46" s="359"/>
      <c r="H46" s="359"/>
      <c r="I46" s="359"/>
      <c r="J46" s="359"/>
      <c r="K46" s="359"/>
      <c r="L46" s="359"/>
      <c r="M46" s="2640"/>
      <c r="N46" s="2640"/>
      <c r="O46" s="2640"/>
      <c r="P46" s="2640"/>
      <c r="Q46" s="2640"/>
    </row>
    <row r="47" spans="1:17" ht="14">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c r="A48" s="377"/>
      <c r="B48" s="2615"/>
      <c r="C48" s="377"/>
      <c r="D48" s="1819"/>
      <c r="E48" s="1819"/>
      <c r="F48" s="1819"/>
      <c r="G48" s="1819"/>
      <c r="H48" s="2641"/>
      <c r="I48" s="2641"/>
      <c r="J48" s="2641"/>
      <c r="K48" s="2641"/>
      <c r="L48" s="2641"/>
      <c r="M48" s="2641"/>
      <c r="N48" s="2641"/>
      <c r="O48" s="2641"/>
      <c r="P48" s="2641"/>
      <c r="Q48" s="2641"/>
    </row>
    <row r="49" spans="1:17">
      <c r="A49" s="2615"/>
      <c r="B49" s="1622" t="str">
        <f>'Part II-Sources of Funds'!B6</f>
        <v>Yes</v>
      </c>
      <c r="C49" s="2619" t="s">
        <v>2219</v>
      </c>
      <c r="D49" s="1819"/>
      <c r="E49" s="1622">
        <f>'Part II-Sources of Funds'!E6</f>
        <v>0</v>
      </c>
      <c r="F49" s="2619" t="s">
        <v>6079</v>
      </c>
      <c r="G49" s="1819"/>
      <c r="H49" s="2641"/>
      <c r="I49" s="2643">
        <f>'Part II-Sources of Funds'!I6</f>
        <v>0</v>
      </c>
      <c r="J49" s="359"/>
      <c r="K49" s="2641"/>
      <c r="L49" s="1622">
        <f>'Part II-Sources of Funds'!L6</f>
        <v>0</v>
      </c>
      <c r="M49" s="2619" t="s">
        <v>1437</v>
      </c>
      <c r="N49" s="2641"/>
      <c r="O49" s="2641"/>
      <c r="P49" s="2641"/>
      <c r="Q49" s="2639"/>
    </row>
    <row r="50" spans="1:17">
      <c r="A50" s="2615"/>
      <c r="B50" s="1622">
        <f>'Part II-Sources of Funds'!B7</f>
        <v>0</v>
      </c>
      <c r="C50" s="2619" t="s">
        <v>3876</v>
      </c>
      <c r="D50" s="1819"/>
      <c r="E50" s="1622">
        <f>'Part II-Sources of Funds'!E7</f>
        <v>0</v>
      </c>
      <c r="F50" s="2619" t="s">
        <v>6080</v>
      </c>
      <c r="G50" s="2641"/>
      <c r="H50" s="2641"/>
      <c r="I50" s="2643">
        <f>'Part II-Sources of Funds'!I7</f>
        <v>0</v>
      </c>
      <c r="J50" s="359"/>
      <c r="K50" s="2641"/>
      <c r="L50" s="1622">
        <f>'Part II-Sources of Funds'!L7</f>
        <v>0</v>
      </c>
      <c r="M50" s="2619" t="s">
        <v>514</v>
      </c>
      <c r="N50" s="2641"/>
      <c r="O50" s="2641"/>
      <c r="P50" s="2639"/>
      <c r="Q50" s="2639"/>
    </row>
    <row r="51" spans="1:17">
      <c r="A51" s="1819"/>
      <c r="B51" s="1622">
        <f>'Part II-Sources of Funds'!B8</f>
        <v>0</v>
      </c>
      <c r="C51" s="2619" t="s">
        <v>6660</v>
      </c>
      <c r="D51" s="2641"/>
      <c r="E51" s="2641"/>
      <c r="F51" s="2641" t="s">
        <v>6663</v>
      </c>
      <c r="G51" s="2641"/>
      <c r="H51" s="2641" t="str">
        <f>'Part II-Sources of Funds'!H8</f>
        <v>Specify Other HOME Source here</v>
      </c>
      <c r="I51" s="2641"/>
      <c r="J51" s="2641"/>
      <c r="K51" s="2641"/>
      <c r="L51" s="1622">
        <f>'Part II-Sources of Funds'!L8</f>
        <v>0</v>
      </c>
      <c r="M51" s="2619" t="s">
        <v>6665</v>
      </c>
      <c r="N51" s="2641"/>
      <c r="O51" s="2641"/>
      <c r="P51" s="2639"/>
      <c r="Q51" s="2639"/>
    </row>
    <row r="52" spans="1:17">
      <c r="A52" s="2615"/>
      <c r="B52" s="1622">
        <f>'Part II-Sources of Funds'!B9</f>
        <v>0</v>
      </c>
      <c r="C52" s="2641" t="s">
        <v>3300</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3877</v>
      </c>
      <c r="N52" s="2641"/>
      <c r="O52" s="2641"/>
      <c r="P52" s="2641"/>
      <c r="Q52" s="2639"/>
    </row>
    <row r="53" spans="1:17">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3192</v>
      </c>
      <c r="N53" s="2641"/>
      <c r="O53" s="2641"/>
      <c r="P53" s="2639"/>
      <c r="Q53" s="2639"/>
    </row>
    <row r="54" spans="1:17">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c r="A55" s="2615"/>
      <c r="B55" s="1622">
        <f>'Part II-Sources of Funds'!B12</f>
        <v>0</v>
      </c>
      <c r="C55" s="2619" t="s">
        <v>3193</v>
      </c>
      <c r="D55" s="2641"/>
      <c r="E55" s="2641"/>
      <c r="F55" s="2641" t="str">
        <f>'Part II-Sources of Funds'!F12</f>
        <v>Specify Source/Administrator of Other STATE/LOCAL Funding here</v>
      </c>
      <c r="G55" s="2641"/>
      <c r="H55" s="2641"/>
      <c r="I55" s="2641"/>
      <c r="J55" s="2641"/>
      <c r="K55" s="2641"/>
      <c r="L55" s="1622">
        <f>'Part II-Sources of Funds'!L12</f>
        <v>0</v>
      </c>
      <c r="M55" s="2641" t="s">
        <v>3219</v>
      </c>
      <c r="N55" s="2641"/>
      <c r="O55" s="2641"/>
      <c r="P55" s="2641"/>
      <c r="Q55" s="2641"/>
    </row>
    <row r="56" spans="1:17">
      <c r="A56" s="2615"/>
      <c r="B56" s="1622">
        <f>'Part II-Sources of Funds'!B13</f>
        <v>0</v>
      </c>
      <c r="C56" s="2619" t="s">
        <v>6662</v>
      </c>
      <c r="D56" s="2641"/>
      <c r="E56" s="1622">
        <f>'Part II-Sources of Funds'!E13</f>
        <v>0</v>
      </c>
      <c r="F56" s="2619" t="s">
        <v>6664</v>
      </c>
      <c r="G56" s="2641"/>
      <c r="H56" s="2641" t="str">
        <f>'Part II-Sources of Funds'!H13</f>
        <v>Specify Other PBRA Source here</v>
      </c>
      <c r="I56" s="2641"/>
      <c r="J56" s="2641"/>
      <c r="K56" s="2641"/>
      <c r="L56" s="1622">
        <f>'Part II-Sources of Funds'!L13</f>
        <v>0</v>
      </c>
      <c r="M56" s="2641" t="s">
        <v>6078</v>
      </c>
      <c r="N56" s="2641"/>
      <c r="O56" s="2641"/>
      <c r="P56" s="2641"/>
      <c r="Q56" s="2641"/>
    </row>
    <row r="57" spans="1:17">
      <c r="A57" s="2615"/>
      <c r="B57" s="1622">
        <f>'Part II-Sources of Funds'!B14</f>
        <v>0</v>
      </c>
      <c r="C57" s="2641" t="s">
        <v>2397</v>
      </c>
      <c r="D57" s="2641"/>
      <c r="E57" s="1622">
        <f>'Part II-Sources of Funds'!E14</f>
        <v>0</v>
      </c>
      <c r="F57" s="2619" t="s">
        <v>3299</v>
      </c>
      <c r="G57" s="2641"/>
      <c r="H57" s="2641"/>
      <c r="I57" s="2641"/>
      <c r="J57" s="2641"/>
      <c r="K57" s="2641"/>
      <c r="L57" s="1622">
        <f>'Part II-Sources of Funds'!L14</f>
        <v>0</v>
      </c>
      <c r="M57" s="2641" t="s">
        <v>6710</v>
      </c>
      <c r="N57" s="2641"/>
      <c r="O57" s="2641"/>
      <c r="P57" s="2641"/>
      <c r="Q57" s="2641"/>
    </row>
    <row r="58" spans="1:17">
      <c r="A58" s="2615"/>
      <c r="B58" s="1622">
        <f>'Part II-Sources of Funds'!B15</f>
        <v>0</v>
      </c>
      <c r="C58" s="2641" t="s">
        <v>3218</v>
      </c>
      <c r="D58" s="2641"/>
      <c r="E58" s="1622">
        <f>'Part II-Sources of Funds'!E15</f>
        <v>0</v>
      </c>
      <c r="F58" s="2619" t="s">
        <v>6081</v>
      </c>
      <c r="G58" s="2641"/>
      <c r="H58" s="2641"/>
      <c r="I58" s="2641"/>
      <c r="J58" s="2641"/>
      <c r="K58" s="2641"/>
      <c r="L58" s="1622">
        <f>'Part II-Sources of Funds'!L15</f>
        <v>0</v>
      </c>
      <c r="M58" s="2644" t="s">
        <v>6082</v>
      </c>
      <c r="N58" s="2641"/>
      <c r="O58" s="2641"/>
      <c r="P58" s="2641"/>
      <c r="Q58" s="2641"/>
    </row>
    <row r="59" spans="1:17">
      <c r="A59" s="2615"/>
      <c r="B59" s="1622">
        <f>'Part II-Sources of Funds'!B16</f>
        <v>0</v>
      </c>
      <c r="C59" s="2619" t="s">
        <v>1673</v>
      </c>
      <c r="D59" s="2641"/>
      <c r="E59" s="1622">
        <f>'Part II-Sources of Funds'!E16</f>
        <v>0</v>
      </c>
      <c r="F59" s="2619" t="s">
        <v>6499</v>
      </c>
      <c r="G59" s="2641"/>
      <c r="H59" s="2641"/>
      <c r="I59" s="2643">
        <f>'Part II-Sources of Funds'!I16</f>
        <v>0</v>
      </c>
      <c r="J59" s="359"/>
      <c r="K59" s="2641"/>
      <c r="L59" s="1622">
        <f>'Part II-Sources of Funds'!L16</f>
        <v>0</v>
      </c>
      <c r="M59" s="2644" t="s">
        <v>6077</v>
      </c>
      <c r="N59" s="2641"/>
      <c r="O59" s="2641"/>
      <c r="P59" s="2641"/>
      <c r="Q59" s="2641"/>
    </row>
    <row r="60" spans="1:17">
      <c r="A60" s="2615"/>
      <c r="B60" s="2641" t="s">
        <v>3878</v>
      </c>
      <c r="C60" s="1819"/>
      <c r="D60" s="1819"/>
      <c r="E60" s="1819"/>
      <c r="F60" s="1819"/>
      <c r="G60" s="1819"/>
      <c r="H60" s="1819"/>
      <c r="I60" s="1819"/>
      <c r="J60" s="1819"/>
      <c r="K60" s="1819"/>
      <c r="L60" s="1819"/>
      <c r="M60" s="2640"/>
      <c r="N60" s="1819"/>
      <c r="O60" s="1819"/>
      <c r="P60" s="1819"/>
      <c r="Q60" s="1819"/>
    </row>
    <row r="61" spans="1:17">
      <c r="A61" s="2615"/>
      <c r="B61" s="2641"/>
      <c r="C61" s="2641"/>
      <c r="D61" s="2641"/>
      <c r="E61" s="2641"/>
      <c r="F61" s="2641"/>
      <c r="G61" s="2641"/>
      <c r="H61" s="2641"/>
      <c r="I61" s="2641"/>
      <c r="J61" s="2641"/>
      <c r="K61" s="2641"/>
      <c r="L61" s="1819"/>
      <c r="M61" s="378"/>
      <c r="N61" s="1819"/>
      <c r="O61" s="1819"/>
      <c r="P61" s="1819"/>
      <c r="Q61" s="1819"/>
    </row>
    <row r="62" spans="1:17">
      <c r="A62" s="2614" t="s">
        <v>689</v>
      </c>
      <c r="B62" s="2624" t="s">
        <v>2165</v>
      </c>
      <c r="C62" s="1819"/>
      <c r="D62" s="1819"/>
      <c r="E62" s="1819"/>
      <c r="F62" s="1819"/>
      <c r="G62" s="1819"/>
      <c r="H62" s="2626"/>
      <c r="I62" s="2626"/>
      <c r="J62" s="2626"/>
      <c r="K62" s="2626"/>
      <c r="L62" s="1819"/>
      <c r="M62" s="1819"/>
      <c r="N62" s="1819"/>
      <c r="O62" s="1819"/>
      <c r="P62" s="1819"/>
      <c r="Q62" s="1819"/>
    </row>
    <row r="63" spans="1:17">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84">
      <c r="A65" s="1819"/>
      <c r="B65" s="1819" t="s">
        <v>1486</v>
      </c>
      <c r="C65" s="1819"/>
      <c r="D65" s="1819"/>
      <c r="E65" s="1819"/>
      <c r="F65" s="1819"/>
      <c r="G65" s="1819"/>
      <c r="H65" s="2645" t="str">
        <f>'Part II-Sources of Funds'!H22</f>
        <v>Legacy Bank - Construction-to-Perm Loan (Loan B)</v>
      </c>
      <c r="I65" s="2645"/>
      <c r="J65" s="2645"/>
      <c r="K65" s="2645"/>
      <c r="L65" s="2547">
        <f>'Part II-Sources of Funds'!L22</f>
        <v>2650000</v>
      </c>
      <c r="M65" s="2547"/>
      <c r="N65" s="2548">
        <f>'Part II-Sources of Funds'!N22</f>
        <v>8.2500000000000004E-2</v>
      </c>
      <c r="O65" s="2548"/>
      <c r="P65" s="2549">
        <f>'Part II-Sources of Funds'!P22</f>
        <v>24</v>
      </c>
      <c r="Q65" s="2549"/>
    </row>
    <row r="66" spans="1:17" ht="56">
      <c r="A66" s="1819"/>
      <c r="B66" s="1819" t="s">
        <v>1487</v>
      </c>
      <c r="C66" s="1819"/>
      <c r="D66" s="1819"/>
      <c r="E66" s="1819"/>
      <c r="F66" s="1819"/>
      <c r="G66" s="1819"/>
      <c r="H66" s="2645" t="str">
        <f>'Part II-Sources of Funds'!H23</f>
        <v>Legacy Bank - Bridge Loan (Loan A)</v>
      </c>
      <c r="I66" s="2645"/>
      <c r="J66" s="2645"/>
      <c r="K66" s="2645"/>
      <c r="L66" s="2547">
        <f>'Part II-Sources of Funds'!L23</f>
        <v>12100000</v>
      </c>
      <c r="M66" s="2547"/>
      <c r="N66" s="2548">
        <f>'Part II-Sources of Funds'!N23</f>
        <v>8.2500000000000004E-2</v>
      </c>
      <c r="O66" s="2548"/>
      <c r="P66" s="2549">
        <f>'Part II-Sources of Funds'!P23</f>
        <v>24</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42">
      <c r="A68" s="1819"/>
      <c r="B68" s="1819" t="s">
        <v>2047</v>
      </c>
      <c r="C68" s="1819"/>
      <c r="D68" s="1819"/>
      <c r="E68" s="1819"/>
      <c r="F68" s="1819"/>
      <c r="G68" s="1819"/>
      <c r="H68" s="2645" t="str">
        <f>'Part II-Sources of Funds'!H25</f>
        <v>Redstone Equity Partners</v>
      </c>
      <c r="I68" s="2645"/>
      <c r="J68" s="2645"/>
      <c r="K68" s="2645"/>
      <c r="L68" s="2547">
        <f>'Part II-Sources of Funds'!L25</f>
        <v>2633486</v>
      </c>
      <c r="M68" s="2547"/>
      <c r="N68" s="2548"/>
      <c r="O68" s="2548"/>
      <c r="P68" s="1819"/>
      <c r="Q68" s="1819"/>
    </row>
    <row r="69" spans="1:17" ht="42">
      <c r="A69" s="1819"/>
      <c r="B69" s="1819" t="s">
        <v>745</v>
      </c>
      <c r="C69" s="1819"/>
      <c r="D69" s="1819"/>
      <c r="E69" s="1819"/>
      <c r="F69" s="2641"/>
      <c r="G69" s="2641"/>
      <c r="H69" s="2645" t="str">
        <f>'Part II-Sources of Funds'!H26</f>
        <v>Redstone Equity Partners</v>
      </c>
      <c r="I69" s="2645"/>
      <c r="J69" s="2645"/>
      <c r="K69" s="2645"/>
      <c r="L69" s="2547">
        <f>'Part II-Sources of Funds'!L26</f>
        <v>1684206</v>
      </c>
      <c r="M69" s="2547"/>
      <c r="N69" s="2548"/>
      <c r="O69" s="2548"/>
      <c r="P69" s="1819"/>
      <c r="Q69" s="1819"/>
    </row>
    <row r="70" spans="1:17">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c r="A71" s="1819"/>
      <c r="B71" s="1819" t="s">
        <v>746</v>
      </c>
      <c r="C71" s="1819"/>
      <c r="D71" s="1819"/>
      <c r="E71" s="1819"/>
      <c r="F71" s="2641"/>
      <c r="G71" s="2641"/>
      <c r="H71" s="2645">
        <f>'Part II-Sources of Funds'!H28</f>
        <v>0</v>
      </c>
      <c r="I71" s="2645"/>
      <c r="J71" s="2645"/>
      <c r="K71" s="2645"/>
      <c r="L71" s="2547">
        <f>'Part II-Sources of Funds'!L28</f>
        <v>0</v>
      </c>
      <c r="M71" s="2547"/>
      <c r="N71" s="1819"/>
      <c r="O71" s="2641"/>
      <c r="P71" s="2641"/>
      <c r="Q71" s="1819"/>
    </row>
    <row r="72" spans="1:17">
      <c r="A72" s="1819"/>
      <c r="B72" s="1819" t="s">
        <v>747</v>
      </c>
      <c r="C72" s="1819"/>
      <c r="D72" s="1819"/>
      <c r="E72" s="1819"/>
      <c r="F72" s="2641"/>
      <c r="G72" s="2641"/>
      <c r="H72" s="2645">
        <f>'Part II-Sources of Funds'!H29</f>
        <v>0</v>
      </c>
      <c r="I72" s="2645"/>
      <c r="J72" s="2645"/>
      <c r="K72" s="2645"/>
      <c r="L72" s="2547">
        <f>'Part II-Sources of Funds'!L29</f>
        <v>0</v>
      </c>
      <c r="M72" s="2547"/>
      <c r="N72" s="1819"/>
      <c r="O72" s="2641"/>
      <c r="P72" s="2641"/>
      <c r="Q72" s="1819"/>
    </row>
    <row r="73" spans="1:17">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c r="A76" s="1819"/>
      <c r="B76" s="2624" t="s">
        <v>1221</v>
      </c>
      <c r="C76" s="1819"/>
      <c r="D76" s="1819"/>
      <c r="E76" s="1819"/>
      <c r="F76" s="1819"/>
      <c r="G76" s="1819"/>
      <c r="H76" s="1819"/>
      <c r="I76" s="1819"/>
      <c r="J76" s="2641"/>
      <c r="K76" s="2641"/>
      <c r="L76" s="2550">
        <f>SUM(L65:L75)</f>
        <v>19067692</v>
      </c>
      <c r="M76" s="2550"/>
      <c r="N76" s="378"/>
      <c r="O76" s="2641"/>
      <c r="P76" s="2641"/>
      <c r="Q76" s="2641"/>
    </row>
    <row r="77" spans="1:17">
      <c r="A77" s="1819"/>
      <c r="B77" s="2623" t="s">
        <v>1222</v>
      </c>
      <c r="C77" s="1819"/>
      <c r="D77" s="1819"/>
      <c r="E77" s="1819"/>
      <c r="F77" s="1819"/>
      <c r="G77" s="1819"/>
      <c r="H77" s="1819"/>
      <c r="I77" s="1819"/>
      <c r="J77" s="2641"/>
      <c r="K77" s="2641"/>
      <c r="L77" s="2550">
        <f>'Part II-Sources of Funds'!L34</f>
        <v>18639365</v>
      </c>
      <c r="M77" s="2550"/>
      <c r="N77" s="2646"/>
      <c r="O77" s="2641"/>
      <c r="P77" s="2641"/>
      <c r="Q77" s="2641"/>
    </row>
    <row r="78" spans="1:17">
      <c r="A78" s="1819"/>
      <c r="B78" s="2623" t="s">
        <v>2002</v>
      </c>
      <c r="C78" s="1819"/>
      <c r="D78" s="1819"/>
      <c r="E78" s="1819"/>
      <c r="F78" s="1819"/>
      <c r="G78" s="1819"/>
      <c r="H78" s="1819"/>
      <c r="I78" s="1819"/>
      <c r="J78" s="2641"/>
      <c r="K78" s="2641"/>
      <c r="L78" s="2647">
        <f>L76-L77</f>
        <v>428327</v>
      </c>
      <c r="M78" s="2647"/>
      <c r="N78" s="2646"/>
      <c r="O78" s="2641"/>
      <c r="P78" s="2641"/>
      <c r="Q78" s="2641"/>
    </row>
    <row r="79" spans="1:17">
      <c r="A79" s="377"/>
      <c r="B79" s="2624"/>
      <c r="C79" s="378"/>
      <c r="D79" s="378"/>
      <c r="E79" s="378"/>
      <c r="F79" s="378"/>
      <c r="G79" s="378"/>
      <c r="H79" s="378"/>
      <c r="I79" s="378"/>
      <c r="J79" s="378"/>
      <c r="K79" s="378"/>
      <c r="L79" s="378"/>
      <c r="M79" s="1622"/>
      <c r="N79" s="1622"/>
      <c r="O79" s="2640"/>
      <c r="P79" s="2640"/>
      <c r="Q79" s="2640"/>
    </row>
    <row r="80" spans="1:17">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70">
      <c r="A83" s="1819"/>
      <c r="B83" s="1819" t="s">
        <v>2402</v>
      </c>
      <c r="C83" s="1819"/>
      <c r="D83" s="1819"/>
      <c r="E83" s="2645" t="str">
        <f>'Part II-Sources of Funds'!E40</f>
        <v>Legacy Bank - Construction-to-Perm (Loan B)</v>
      </c>
      <c r="F83" s="2645"/>
      <c r="G83" s="2645"/>
      <c r="H83" s="2645"/>
      <c r="I83" s="2648">
        <f>'Part II-Sources of Funds'!I40</f>
        <v>2650000</v>
      </c>
      <c r="J83" s="1819"/>
      <c r="K83" s="2649">
        <f>'Part II-Sources of Funds'!K40</f>
        <v>6.5619999999999998E-2</v>
      </c>
      <c r="L83" s="1622">
        <f>'Part II-Sources of Funds'!L40</f>
        <v>17</v>
      </c>
      <c r="M83" s="1622">
        <f>'Part II-Sources of Funds'!M40</f>
        <v>40</v>
      </c>
      <c r="N83" s="1819" t="str">
        <f>'Part II-Sources of Funds'!N40</f>
        <v>Amortizing</v>
      </c>
      <c r="O83" s="1819"/>
      <c r="P83" s="2551">
        <f>'Part II-Sources of Funds'!P40</f>
        <v>187581.61721366894</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70">
      <c r="A88" s="1819"/>
      <c r="B88" s="1819" t="s">
        <v>220</v>
      </c>
      <c r="C88" s="1819"/>
      <c r="D88" s="2650">
        <f>'Part II-Sources of Funds'!D45</f>
        <v>0.34388085106382976</v>
      </c>
      <c r="E88" s="2645" t="str">
        <f>'Part II-Sources of Funds'!E45</f>
        <v>Commonwealth Development Corporation</v>
      </c>
      <c r="F88" s="2645"/>
      <c r="G88" s="2645"/>
      <c r="H88" s="2645"/>
      <c r="I88" s="2648">
        <f>'Part II-Sources of Funds'!I45</f>
        <v>444466</v>
      </c>
      <c r="J88" s="1819"/>
      <c r="K88" s="2649">
        <f>'Part II-Sources of Funds'!K45</f>
        <v>0</v>
      </c>
      <c r="L88" s="1622">
        <f>'Part II-Sources of Funds'!L45</f>
        <v>15</v>
      </c>
      <c r="M88" s="1622">
        <f>'Part II-Sources of Funds'!M45</f>
        <v>15</v>
      </c>
      <c r="N88" s="1819" t="str">
        <f>'Part II-Sources of Funds'!N45</f>
        <v>Amortizing</v>
      </c>
      <c r="O88" s="1819"/>
      <c r="P88" s="2551">
        <f>'Part II-Sources of Funds'!P45</f>
        <v>29631.066666666666</v>
      </c>
      <c r="Q88" s="2551"/>
    </row>
    <row r="89" spans="1:17">
      <c r="A89" s="1819"/>
      <c r="B89" s="1819"/>
      <c r="C89" s="1819"/>
      <c r="D89" s="1819"/>
      <c r="E89" s="1819"/>
      <c r="F89" s="1819"/>
      <c r="G89" s="1819"/>
      <c r="H89" s="1819"/>
      <c r="I89" s="2651"/>
      <c r="J89" s="2652"/>
      <c r="K89" s="2649"/>
      <c r="L89" s="1622"/>
      <c r="M89" s="1622"/>
      <c r="N89" s="2552"/>
      <c r="O89" s="2552"/>
      <c r="P89" s="1622"/>
      <c r="Q89" s="1622"/>
    </row>
    <row r="90" spans="1:17">
      <c r="A90" s="1819"/>
      <c r="B90" s="2641" t="s">
        <v>3405</v>
      </c>
      <c r="C90" s="1819"/>
      <c r="D90" s="2641"/>
      <c r="E90" s="2641" t="s">
        <v>3363</v>
      </c>
      <c r="F90" s="2653">
        <f>'Part II-Sources of Funds'!F47</f>
        <v>555617.33320387697</v>
      </c>
      <c r="G90" s="2641"/>
      <c r="H90" s="2654" t="s">
        <v>3404</v>
      </c>
      <c r="I90" s="2653">
        <f>'Part II-Sources of Funds'!I47</f>
        <v>444465.99999999988</v>
      </c>
      <c r="J90" s="2641"/>
      <c r="K90" s="2654" t="s">
        <v>3406</v>
      </c>
      <c r="L90" s="2655">
        <f>'Part II-Sources of Funds'!L47</f>
        <v>0.79994984576355632</v>
      </c>
      <c r="M90" s="2655"/>
      <c r="N90" s="2551" t="s">
        <v>3847</v>
      </c>
      <c r="O90" s="2551"/>
      <c r="P90" s="1820">
        <f>'Part II-Sources of Funds'!P47</f>
        <v>0</v>
      </c>
      <c r="Q90" s="1820"/>
    </row>
    <row r="91" spans="1:17">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42">
      <c r="A94" s="1819"/>
      <c r="B94" s="1819" t="s">
        <v>746</v>
      </c>
      <c r="C94" s="1819"/>
      <c r="D94" s="1819"/>
      <c r="E94" s="2645" t="str">
        <f>'Part II-Sources of Funds'!E51</f>
        <v>Redstone Equity Partners</v>
      </c>
      <c r="F94" s="2645"/>
      <c r="G94" s="2645"/>
      <c r="H94" s="2645"/>
      <c r="I94" s="2648">
        <f>'Part II-Sources of Funds'!I51</f>
        <v>10533947</v>
      </c>
      <c r="J94" s="1819"/>
      <c r="K94" s="2641"/>
      <c r="L94" s="2659">
        <f>'Part II-Sources of Funds'!L51</f>
        <v>10535000</v>
      </c>
      <c r="M94" s="2659"/>
      <c r="N94" s="2660">
        <f>I94-L94</f>
        <v>-1053</v>
      </c>
      <c r="O94" s="2660"/>
      <c r="P94" s="2661">
        <f>I94/I104</f>
        <v>0.51725133203690854</v>
      </c>
      <c r="Q94" s="1819"/>
    </row>
    <row r="95" spans="1:17" ht="42">
      <c r="A95" s="1819"/>
      <c r="B95" s="1819" t="s">
        <v>747</v>
      </c>
      <c r="C95" s="1819"/>
      <c r="D95" s="1819"/>
      <c r="E95" s="2645" t="str">
        <f>'Part II-Sources of Funds'!E52</f>
        <v>Redstone Equity Partners</v>
      </c>
      <c r="F95" s="2645"/>
      <c r="G95" s="2645"/>
      <c r="H95" s="2645"/>
      <c r="I95" s="2648">
        <f>'Part II-Sources of Funds'!I52</f>
        <v>6736826</v>
      </c>
      <c r="J95" s="1819"/>
      <c r="K95" s="2641"/>
      <c r="L95" s="2659">
        <f>'Part II-Sources of Funds'!L52</f>
        <v>6737500.0000000009</v>
      </c>
      <c r="M95" s="2659"/>
      <c r="N95" s="2660">
        <f>I95-L95</f>
        <v>-674.00000000093132</v>
      </c>
      <c r="O95" s="2660"/>
      <c r="P95" s="2661">
        <f>I95/I104</f>
        <v>0.33080024251127127</v>
      </c>
      <c r="Q95" s="1819"/>
    </row>
    <row r="96" spans="1:17">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0.84805157454817981</v>
      </c>
      <c r="Q96" s="1819"/>
    </row>
    <row r="97" spans="1:17">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c r="A103" s="1819"/>
      <c r="B103" s="2623" t="s">
        <v>2048</v>
      </c>
      <c r="C103" s="1819"/>
      <c r="D103" s="1819"/>
      <c r="E103" s="1819"/>
      <c r="F103" s="1819"/>
      <c r="G103" s="1819"/>
      <c r="H103" s="2641"/>
      <c r="I103" s="2550">
        <f>SUM(I83:J88)+SUM(I92:J102)</f>
        <v>20365239</v>
      </c>
      <c r="J103" s="2550"/>
      <c r="K103" s="1819"/>
      <c r="L103" s="1622"/>
      <c r="M103" s="2645"/>
      <c r="N103" s="2645"/>
      <c r="O103" s="2645"/>
      <c r="P103" s="2645"/>
      <c r="Q103" s="1819"/>
    </row>
    <row r="104" spans="1:17">
      <c r="A104" s="1819"/>
      <c r="B104" s="2623" t="s">
        <v>2049</v>
      </c>
      <c r="C104" s="1819"/>
      <c r="D104" s="1819"/>
      <c r="E104" s="1819"/>
      <c r="F104" s="1819"/>
      <c r="G104" s="1819"/>
      <c r="H104" s="2641"/>
      <c r="I104" s="2550">
        <f>'Part III-A-Uses of Funds'!$G$146</f>
        <v>20365239</v>
      </c>
      <c r="J104" s="2550"/>
      <c r="K104" s="1819"/>
      <c r="L104" s="1622"/>
      <c r="M104" s="2645"/>
      <c r="N104" s="2645"/>
      <c r="O104" s="2645"/>
      <c r="P104" s="2645"/>
      <c r="Q104" s="1819"/>
    </row>
    <row r="105" spans="1:17">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Legacy Bank has provided a construction bridge loan commitment (up to $12,100,000) to bridge the projected equity pay-in schedule until conversion although the full amount of construction loan commitment is not projected to be needed.  Legacy Bank has also provided a construction-to-permanent loan commitment ($2,650,000).  Redstone Equity Partners has provided a commitment for federal and state equity financing.  Deferred developer fee will be repaid out of available cash flow within the first 15 years of operation as a loan to the partnership at 0% interest.</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Fairhaven on Campbellton,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4">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4">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10000</v>
      </c>
      <c r="H122" s="2547"/>
      <c r="I122" s="1819"/>
      <c r="J122" s="2547">
        <f>'Part III-A-Uses of Funds'!J9</f>
        <v>10000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7500</v>
      </c>
      <c r="H123" s="2547"/>
      <c r="I123" s="1819"/>
      <c r="J123" s="2547">
        <f>'Part III-A-Uses of Funds'!J10</f>
        <v>75000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20000</v>
      </c>
      <c r="H124" s="2547"/>
      <c r="I124" s="1819"/>
      <c r="J124" s="2547">
        <f>'Part III-A-Uses of Funds'!J11</f>
        <v>20000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20000</v>
      </c>
      <c r="H125" s="2547"/>
      <c r="I125" s="1819"/>
      <c r="J125" s="2547">
        <f>'Part III-A-Uses of Funds'!J12</f>
        <v>20000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20000</v>
      </c>
      <c r="H126" s="2547"/>
      <c r="I126" s="1819"/>
      <c r="J126" s="2547">
        <f>'Part III-A-Uses of Funds'!J13</f>
        <v>20000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5000</v>
      </c>
      <c r="H127" s="2547"/>
      <c r="I127" s="1819"/>
      <c r="J127" s="2547">
        <f>'Part III-A-Uses of Funds'!J14</f>
        <v>5000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82500</v>
      </c>
      <c r="H131" s="2547"/>
      <c r="I131" s="1819"/>
      <c r="J131" s="2547">
        <f>SUM(J122:J130)</f>
        <v>150000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436432.63757115754</v>
      </c>
      <c r="G133" s="2547">
        <f>'Part III-A-Uses of Funds'!G20</f>
        <v>2300000</v>
      </c>
      <c r="H133" s="2547"/>
      <c r="I133" s="1819"/>
      <c r="J133" s="2545"/>
      <c r="K133" s="2547"/>
      <c r="L133" s="2545"/>
      <c r="M133" s="2545"/>
      <c r="N133" s="2547"/>
      <c r="O133" s="1819"/>
      <c r="P133" s="2545"/>
      <c r="Q133" s="2547"/>
      <c r="R133" s="1819"/>
      <c r="S133" s="2547">
        <f>'Part III-A-Uses of Funds'!S20</f>
        <v>2300000</v>
      </c>
      <c r="T133" s="2547"/>
      <c r="U133" s="1819"/>
      <c r="V133" s="2665"/>
    </row>
    <row r="134" spans="1:22">
      <c r="A134" s="1819"/>
      <c r="B134" s="1819" t="s">
        <v>1054</v>
      </c>
      <c r="C134" s="1819"/>
      <c r="D134" s="1819"/>
      <c r="E134" s="1819"/>
      <c r="F134" s="1819"/>
      <c r="G134" s="2547">
        <f>'Part III-A-Uses of Funds'!G21</f>
        <v>20000</v>
      </c>
      <c r="H134" s="2547"/>
      <c r="I134" s="1819"/>
      <c r="J134" s="2545"/>
      <c r="K134" s="2547"/>
      <c r="L134" s="2545"/>
      <c r="M134" s="2545"/>
      <c r="N134" s="2547"/>
      <c r="O134" s="1819"/>
      <c r="P134" s="2545"/>
      <c r="Q134" s="2547"/>
      <c r="R134" s="1819"/>
      <c r="S134" s="2547">
        <f>'Part III-A-Uses of Funds'!S21</f>
        <v>20000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2320000</v>
      </c>
      <c r="H137" s="2547"/>
      <c r="I137" s="1819"/>
      <c r="J137" s="2545"/>
      <c r="K137" s="2547"/>
      <c r="L137" s="2545"/>
      <c r="M137" s="2547">
        <f>SUM(M135:M136)</f>
        <v>0</v>
      </c>
      <c r="N137" s="2547"/>
      <c r="O137" s="1819"/>
      <c r="P137" s="2545"/>
      <c r="Q137" s="2547"/>
      <c r="R137" s="1819"/>
      <c r="S137" s="2547">
        <f>SUM(S133:S136)</f>
        <v>2320000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398481.97343453515</v>
      </c>
      <c r="G139" s="2547">
        <f>'Part III-A-Uses of Funds'!G26</f>
        <v>2100000</v>
      </c>
      <c r="H139" s="2547"/>
      <c r="I139" s="1819"/>
      <c r="J139" s="2547">
        <f>'Part III-A-Uses of Funds'!J26</f>
        <v>1800000</v>
      </c>
      <c r="K139" s="2547"/>
      <c r="L139" s="2545"/>
      <c r="M139" s="2547">
        <f>'Part III-A-Uses of Funds'!M26</f>
        <v>0</v>
      </c>
      <c r="N139" s="2547"/>
      <c r="O139" s="1819"/>
      <c r="P139" s="2547">
        <f>'Part III-A-Uses of Funds'!P26</f>
        <v>0</v>
      </c>
      <c r="Q139" s="2547"/>
      <c r="R139" s="1819"/>
      <c r="S139" s="2547">
        <f>'Part III-A-Uses of Funds'!S26</f>
        <v>300000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2100000</v>
      </c>
      <c r="H141" s="2547"/>
      <c r="I141" s="1819"/>
      <c r="J141" s="2547">
        <f>SUM(J139:J140)</f>
        <v>1800000</v>
      </c>
      <c r="K141" s="2547"/>
      <c r="L141" s="2545"/>
      <c r="M141" s="2547">
        <f>M139</f>
        <v>0</v>
      </c>
      <c r="N141" s="2547"/>
      <c r="O141" s="1819"/>
      <c r="P141" s="2547">
        <f>P139</f>
        <v>0</v>
      </c>
      <c r="Q141" s="2547"/>
      <c r="R141" s="1819"/>
      <c r="S141" s="2547">
        <f>SUM(S139:S140)</f>
        <v>300000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9269202</v>
      </c>
      <c r="H143" s="2547"/>
      <c r="I143" s="1819"/>
      <c r="J143" s="2547">
        <f>'Part III-A-Uses of Funds'!J30</f>
        <v>7556397</v>
      </c>
      <c r="K143" s="2547"/>
      <c r="L143" s="2545"/>
      <c r="M143" s="2547">
        <f>'Part III-A-Uses of Funds'!M30</f>
        <v>0</v>
      </c>
      <c r="N143" s="2547"/>
      <c r="O143" s="1819"/>
      <c r="P143" s="2547">
        <f>'Part III-A-Uses of Funds'!P30</f>
        <v>0</v>
      </c>
      <c r="Q143" s="2547"/>
      <c r="R143" s="1819"/>
      <c r="S143" s="2547">
        <f>'Part III-A-Uses of Funds'!S30</f>
        <v>1712805</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9269202</v>
      </c>
      <c r="H149" s="2547"/>
      <c r="I149" s="1819"/>
      <c r="J149" s="2547">
        <f>SUM(J143:J148)</f>
        <v>7556397</v>
      </c>
      <c r="K149" s="2547"/>
      <c r="L149" s="2545"/>
      <c r="M149" s="2547">
        <f>SUM(M143:M148)</f>
        <v>0</v>
      </c>
      <c r="N149" s="2547"/>
      <c r="O149" s="1819"/>
      <c r="P149" s="2547">
        <f>SUM(P143:P148)</f>
        <v>0</v>
      </c>
      <c r="Q149" s="2547"/>
      <c r="R149" s="1819"/>
      <c r="S149" s="2547">
        <f>SUM(S143:S148)</f>
        <v>1712805</v>
      </c>
      <c r="T149" s="2547"/>
      <c r="U149" s="1819"/>
      <c r="V149" s="2665">
        <f>SUM(V143:V148)</f>
        <v>0</v>
      </c>
    </row>
    <row r="150" spans="1:22">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c r="A151" s="1819"/>
      <c r="B151" s="1819" t="s">
        <v>2164</v>
      </c>
      <c r="C151" s="1819"/>
      <c r="D151" s="2676">
        <f>'DCA Underwriting Assumptions'!$R$38</f>
        <v>0.06</v>
      </c>
      <c r="E151" s="2556">
        <f>ROUNDDOWN(D151*(G141+G149),0)</f>
        <v>682152</v>
      </c>
      <c r="F151" s="2676">
        <f>IF(($G$24+$G$32)=0,0,G151/($G$24+$G$32))</f>
        <v>0</v>
      </c>
      <c r="G151" s="2547">
        <f>'Part III-A-Uses of Funds'!G38</f>
        <v>682152</v>
      </c>
      <c r="H151" s="2547"/>
      <c r="I151" s="1819"/>
      <c r="J151" s="2547">
        <f>'Part III-A-Uses of Funds'!J38</f>
        <v>561383</v>
      </c>
      <c r="K151" s="2547"/>
      <c r="L151" s="2545"/>
      <c r="M151" s="2547">
        <f>'Part III-A-Uses of Funds'!M38</f>
        <v>0</v>
      </c>
      <c r="N151" s="2547"/>
      <c r="O151" s="1819"/>
      <c r="P151" s="2547">
        <f>'Part III-A-Uses of Funds'!P38</f>
        <v>0</v>
      </c>
      <c r="Q151" s="2547"/>
      <c r="R151" s="1819"/>
      <c r="S151" s="2547">
        <f>'Part III-A-Uses of Funds'!S38</f>
        <v>120769</v>
      </c>
      <c r="T151" s="2547"/>
      <c r="U151" s="1819"/>
      <c r="V151" s="2665"/>
    </row>
    <row r="152" spans="1:22">
      <c r="A152" s="1819"/>
      <c r="B152" s="1819" t="s">
        <v>2475</v>
      </c>
      <c r="C152" s="1819"/>
      <c r="D152" s="2676">
        <f>'DCA Underwriting Assumptions'!$R$39</f>
        <v>0.02</v>
      </c>
      <c r="E152" s="2556">
        <f>ROUNDDOWN(D152*(G141+G149),0)</f>
        <v>227384</v>
      </c>
      <c r="F152" s="2676">
        <f>IF(($G$24+$G$32)=0,0,G152/($G$24+$G$32))</f>
        <v>0</v>
      </c>
      <c r="G152" s="2547">
        <f>'Part III-A-Uses of Funds'!G39</f>
        <v>227384</v>
      </c>
      <c r="H152" s="2547"/>
      <c r="I152" s="378"/>
      <c r="J152" s="2547">
        <f>'Part III-A-Uses of Funds'!J39</f>
        <v>187127</v>
      </c>
      <c r="K152" s="2547"/>
      <c r="L152" s="2545"/>
      <c r="M152" s="2547">
        <f>'Part III-A-Uses of Funds'!M39</f>
        <v>0</v>
      </c>
      <c r="N152" s="2547"/>
      <c r="O152" s="1819"/>
      <c r="P152" s="2547">
        <f>'Part III-A-Uses of Funds'!P39</f>
        <v>0</v>
      </c>
      <c r="Q152" s="2547"/>
      <c r="R152" s="1819"/>
      <c r="S152" s="2547">
        <f>'Part III-A-Uses of Funds'!S39</f>
        <v>40257</v>
      </c>
      <c r="T152" s="2547"/>
      <c r="U152" s="1819"/>
      <c r="V152" s="2665"/>
    </row>
    <row r="153" spans="1:22">
      <c r="A153" s="1819"/>
      <c r="B153" s="1819" t="s">
        <v>2476</v>
      </c>
      <c r="C153" s="1819"/>
      <c r="D153" s="2676">
        <f>'DCA Underwriting Assumptions'!$R$40</f>
        <v>0.06</v>
      </c>
      <c r="E153" s="2556">
        <f>ROUNDDOWN(D153*(G141+G149),0)</f>
        <v>682152</v>
      </c>
      <c r="F153" s="2676">
        <f>IF(($G$24+$G$32)=0,0,G153/($G$24+$G$32))</f>
        <v>0</v>
      </c>
      <c r="G153" s="2547">
        <f>'Part III-A-Uses of Funds'!G40</f>
        <v>682152</v>
      </c>
      <c r="H153" s="2547"/>
      <c r="I153" s="378"/>
      <c r="J153" s="2547">
        <f>'Part III-A-Uses of Funds'!J40</f>
        <v>561383</v>
      </c>
      <c r="K153" s="2547"/>
      <c r="L153" s="2545"/>
      <c r="M153" s="2547">
        <f>'Part III-A-Uses of Funds'!M40</f>
        <v>0</v>
      </c>
      <c r="N153" s="2547"/>
      <c r="O153" s="1819"/>
      <c r="P153" s="2547">
        <f>'Part III-A-Uses of Funds'!P40</f>
        <v>0</v>
      </c>
      <c r="Q153" s="2547"/>
      <c r="R153" s="1819"/>
      <c r="S153" s="2547">
        <f>'Part III-A-Uses of Funds'!S40</f>
        <v>120769</v>
      </c>
      <c r="T153" s="2547"/>
      <c r="U153" s="1819"/>
      <c r="V153" s="2665"/>
    </row>
    <row r="154" spans="1:22">
      <c r="A154" s="1819"/>
      <c r="B154" s="2622" t="s">
        <v>3225</v>
      </c>
      <c r="C154" s="1819"/>
      <c r="D154" s="2674">
        <f>SUM(D151:D153)</f>
        <v>0.14000000000000001</v>
      </c>
      <c r="E154" s="2677">
        <f>SUM(E151:E153)</f>
        <v>1591688</v>
      </c>
      <c r="F154" s="2669" t="s">
        <v>184</v>
      </c>
      <c r="G154" s="2547">
        <f>SUM(G151:G153)</f>
        <v>1591688</v>
      </c>
      <c r="H154" s="2547"/>
      <c r="I154" s="1819"/>
      <c r="J154" s="2547">
        <f>SUM(J151:J153)</f>
        <v>1309893</v>
      </c>
      <c r="K154" s="2547"/>
      <c r="L154" s="2545"/>
      <c r="M154" s="2547">
        <f>SUM(M151:M153)</f>
        <v>0</v>
      </c>
      <c r="N154" s="2547"/>
      <c r="O154" s="1819"/>
      <c r="P154" s="2547">
        <f>SUM(P151:P153)</f>
        <v>0</v>
      </c>
      <c r="Q154" s="2547"/>
      <c r="R154" s="1819"/>
      <c r="S154" s="2547">
        <f>SUM(S151:S153)</f>
        <v>281795</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12960890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6953</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6954</v>
      </c>
      <c r="C161" s="2681"/>
      <c r="D161" s="1819"/>
      <c r="E161" s="2616" t="s">
        <v>2478</v>
      </c>
      <c r="F161" s="2557">
        <f>C162/'Part V-Revenues &amp; Expenses'!$P$65</f>
        <v>275763.61702127662</v>
      </c>
      <c r="G161" s="2682" t="s">
        <v>6955</v>
      </c>
      <c r="H161" s="1819"/>
      <c r="I161" s="1819"/>
      <c r="J161" s="2558">
        <f>C162/'Part V-Revenues &amp; Expenses'!$P$67</f>
        <v>275763.61702127662</v>
      </c>
      <c r="K161" s="2558"/>
      <c r="L161" s="1819"/>
      <c r="M161" s="2683" t="s">
        <v>6475</v>
      </c>
      <c r="N161" s="2683"/>
      <c r="O161" s="1819"/>
      <c r="P161" s="2558">
        <f>C162/'Part V-Revenues &amp; Expenses'!$K$175</f>
        <v>319.62737361282365</v>
      </c>
      <c r="Q161" s="2558"/>
      <c r="R161" s="1819"/>
      <c r="S161" s="2684" t="s">
        <v>6477</v>
      </c>
      <c r="T161" s="2684"/>
      <c r="U161" s="1819"/>
      <c r="V161" s="2665"/>
    </row>
    <row r="162" spans="1:22">
      <c r="A162" s="1819"/>
      <c r="B162" s="2685" t="s">
        <v>6488</v>
      </c>
      <c r="C162" s="2686">
        <f>G141+G149+G154+G159</f>
        <v>12960890</v>
      </c>
      <c r="D162" s="1819"/>
      <c r="E162" s="2616"/>
      <c r="F162" s="2557">
        <f>C162/'Part V-Revenues &amp; Expenses'!$P$166</f>
        <v>319.62737361282365</v>
      </c>
      <c r="G162" s="2684" t="s">
        <v>6956</v>
      </c>
      <c r="H162" s="1819"/>
      <c r="I162" s="1819"/>
      <c r="J162" s="2558">
        <f>C162/'Part V-Revenues &amp; Expenses'!$P$168</f>
        <v>319.62737361282365</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6957</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648044.5</v>
      </c>
      <c r="F168" s="2650">
        <f>G168/C162</f>
        <v>4.9999961422402317E-2</v>
      </c>
      <c r="G168" s="2547">
        <f>'Part III-A-Uses of Funds'!G55</f>
        <v>648044</v>
      </c>
      <c r="H168" s="2547"/>
      <c r="I168" s="1819"/>
      <c r="J168" s="2547">
        <f>'Part III-A-Uses of Funds'!J55</f>
        <v>533315</v>
      </c>
      <c r="K168" s="2547"/>
      <c r="L168" s="2545"/>
      <c r="M168" s="2547">
        <f>'Part III-A-Uses of Funds'!M55</f>
        <v>0</v>
      </c>
      <c r="N168" s="2547"/>
      <c r="O168" s="1819"/>
      <c r="P168" s="2547">
        <f>'Part III-A-Uses of Funds'!P55</f>
        <v>0</v>
      </c>
      <c r="Q168" s="2547"/>
      <c r="R168" s="1819"/>
      <c r="S168" s="2547">
        <f>'Part III-A-Uses of Funds'!S55</f>
        <v>114729</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289551.78723404254</v>
      </c>
      <c r="G170" s="2682" t="s">
        <v>6955</v>
      </c>
      <c r="H170" s="1819"/>
      <c r="I170" s="1819"/>
      <c r="J170" s="2558">
        <f>B171/'Part V-Revenues &amp; Expenses'!$P$67</f>
        <v>289551.78723404254</v>
      </c>
      <c r="K170" s="2558"/>
      <c r="L170" s="1819"/>
      <c r="M170" s="2683" t="s">
        <v>6475</v>
      </c>
      <c r="N170" s="2683"/>
      <c r="O170" s="1819"/>
      <c r="P170" s="2558">
        <f>B171/'Part V-Revenues &amp; Expenses'!$K$175</f>
        <v>335.60872996300861</v>
      </c>
      <c r="Q170" s="2558"/>
      <c r="R170" s="1819"/>
      <c r="S170" s="2684" t="s">
        <v>6477</v>
      </c>
      <c r="T170" s="2684"/>
      <c r="U170" s="1819"/>
      <c r="V170" s="2665"/>
    </row>
    <row r="171" spans="1:22">
      <c r="A171" s="1819"/>
      <c r="B171" s="2686">
        <f>C162+G168</f>
        <v>13608934</v>
      </c>
      <c r="C171" s="2686"/>
      <c r="D171" s="1819"/>
      <c r="E171" s="2616"/>
      <c r="F171" s="2557">
        <f>B171/'Part V-Revenues &amp; Expenses'!$P$166</f>
        <v>335.60872996300861</v>
      </c>
      <c r="G171" s="2684" t="s">
        <v>6956</v>
      </c>
      <c r="H171" s="1819"/>
      <c r="I171" s="1819"/>
      <c r="J171" s="2558">
        <f>B171/'Part V-Revenues &amp; Expenses'!$P$168</f>
        <v>335.60872996300861</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146547</v>
      </c>
      <c r="H176" s="2547"/>
      <c r="I176" s="1819"/>
      <c r="J176" s="2547">
        <f>'Part III-A-Uses of Funds'!J63</f>
        <v>107982</v>
      </c>
      <c r="K176" s="2547"/>
      <c r="L176" s="2545"/>
      <c r="M176" s="2547">
        <f>'Part III-A-Uses of Funds'!M63</f>
        <v>0</v>
      </c>
      <c r="N176" s="2547"/>
      <c r="O176" s="1819"/>
      <c r="P176" s="2547">
        <f>'Part III-A-Uses of Funds'!P63</f>
        <v>0</v>
      </c>
      <c r="Q176" s="2547"/>
      <c r="R176" s="1819"/>
      <c r="S176" s="2547">
        <f>'Part III-A-Uses of Funds'!S63</f>
        <v>38565</v>
      </c>
      <c r="T176" s="2547"/>
      <c r="U176" s="1819"/>
      <c r="V176" s="2665"/>
    </row>
    <row r="177" spans="1:22">
      <c r="A177" s="1819"/>
      <c r="B177" s="1819" t="s">
        <v>2167</v>
      </c>
      <c r="C177" s="1819"/>
      <c r="D177" s="1819"/>
      <c r="E177" s="1819"/>
      <c r="F177" s="1819"/>
      <c r="G177" s="2547">
        <f>'Part III-A-Uses of Funds'!G64</f>
        <v>958413</v>
      </c>
      <c r="H177" s="2547"/>
      <c r="I177" s="1819"/>
      <c r="J177" s="2547">
        <f>'Part III-A-Uses of Funds'!J64</f>
        <v>698266</v>
      </c>
      <c r="K177" s="2547"/>
      <c r="L177" s="2545"/>
      <c r="M177" s="2547">
        <f>'Part III-A-Uses of Funds'!M64</f>
        <v>0</v>
      </c>
      <c r="N177" s="2547"/>
      <c r="O177" s="1819"/>
      <c r="P177" s="2547">
        <f>'Part III-A-Uses of Funds'!P64</f>
        <v>0</v>
      </c>
      <c r="Q177" s="2547"/>
      <c r="R177" s="1819"/>
      <c r="S177" s="2547">
        <f>'Part III-A-Uses of Funds'!S64</f>
        <v>260147</v>
      </c>
      <c r="T177" s="2547"/>
      <c r="U177" s="1819"/>
      <c r="V177" s="2665"/>
    </row>
    <row r="178" spans="1:22">
      <c r="A178" s="1819"/>
      <c r="B178" s="1819" t="s">
        <v>2168</v>
      </c>
      <c r="C178" s="1819"/>
      <c r="D178" s="1819"/>
      <c r="E178" s="1819"/>
      <c r="F178" s="1819"/>
      <c r="G178" s="2547">
        <f>'Part III-A-Uses of Funds'!G65</f>
        <v>20000</v>
      </c>
      <c r="H178" s="2547"/>
      <c r="I178" s="1819"/>
      <c r="J178" s="2547">
        <f>'Part III-A-Uses of Funds'!J65</f>
        <v>14737</v>
      </c>
      <c r="K178" s="2547"/>
      <c r="L178" s="2545"/>
      <c r="M178" s="2547">
        <f>'Part III-A-Uses of Funds'!M65</f>
        <v>0</v>
      </c>
      <c r="N178" s="2547"/>
      <c r="O178" s="1819"/>
      <c r="P178" s="2547">
        <f>'Part III-A-Uses of Funds'!P65</f>
        <v>0</v>
      </c>
      <c r="Q178" s="2547"/>
      <c r="R178" s="1819"/>
      <c r="S178" s="2547">
        <f>'Part III-A-Uses of Funds'!S65</f>
        <v>5263</v>
      </c>
      <c r="T178" s="2547"/>
      <c r="U178" s="1819"/>
      <c r="V178" s="2665"/>
    </row>
    <row r="179" spans="1:22">
      <c r="A179" s="1819"/>
      <c r="B179" s="1819" t="s">
        <v>2450</v>
      </c>
      <c r="C179" s="1819"/>
      <c r="D179" s="1819"/>
      <c r="E179" s="1819"/>
      <c r="F179" s="1819"/>
      <c r="G179" s="2547">
        <f>'Part III-A-Uses of Funds'!G66</f>
        <v>46454</v>
      </c>
      <c r="H179" s="2547"/>
      <c r="I179" s="1819"/>
      <c r="J179" s="2547">
        <f>'Part III-A-Uses of Funds'!J66</f>
        <v>46454</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10000</v>
      </c>
      <c r="H180" s="2547"/>
      <c r="I180" s="1819"/>
      <c r="J180" s="2547">
        <f>'Part III-A-Uses of Funds'!J67</f>
        <v>10000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74338</v>
      </c>
      <c r="H181" s="2547"/>
      <c r="I181" s="1819"/>
      <c r="J181" s="2547">
        <f>'Part III-A-Uses of Funds'!J68</f>
        <v>74338</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74528</v>
      </c>
      <c r="H183" s="2547"/>
      <c r="I183" s="378"/>
      <c r="J183" s="2547">
        <f>'Part III-A-Uses of Funds'!J70</f>
        <v>74528</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1380280</v>
      </c>
      <c r="H186" s="2547"/>
      <c r="I186" s="1819"/>
      <c r="J186" s="2547">
        <f>SUM(J174:J185)</f>
        <v>1076305</v>
      </c>
      <c r="K186" s="2547"/>
      <c r="L186" s="2545"/>
      <c r="M186" s="2547">
        <f>SUM(M174:M185)</f>
        <v>0</v>
      </c>
      <c r="N186" s="2547"/>
      <c r="O186" s="1819"/>
      <c r="P186" s="2547">
        <f>SUM(P174:P185)</f>
        <v>0</v>
      </c>
      <c r="Q186" s="2547"/>
      <c r="R186" s="1819"/>
      <c r="S186" s="2547">
        <f>SUM(S174:S185)</f>
        <v>303975</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301600</v>
      </c>
      <c r="H188" s="2547"/>
      <c r="I188" s="1819"/>
      <c r="J188" s="2547">
        <f>'Part III-A-Uses of Funds'!J75</f>
        <v>301600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75400</v>
      </c>
      <c r="H189" s="2547"/>
      <c r="I189" s="1819"/>
      <c r="J189" s="2547">
        <f>'Part III-A-Uses of Funds'!J76</f>
        <v>75400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15000</v>
      </c>
      <c r="H191" s="2547"/>
      <c r="I191" s="1819"/>
      <c r="J191" s="2547">
        <f>'Part III-A-Uses of Funds'!J78</f>
        <v>15000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10000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20000</v>
      </c>
      <c r="H193" s="2547"/>
      <c r="I193" s="1819"/>
      <c r="J193" s="2547">
        <f>'Part III-A-Uses of Funds'!J80</f>
        <v>20000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98700</v>
      </c>
      <c r="H194" s="2547"/>
      <c r="I194" s="1819"/>
      <c r="J194" s="2547">
        <f>'Part III-A-Uses of Funds'!J81</f>
        <v>98700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75000</v>
      </c>
      <c r="H195" s="2547"/>
      <c r="I195" s="1819"/>
      <c r="J195" s="2547">
        <f>'Part III-A-Uses of Funds'!J82</f>
        <v>37500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11500</v>
      </c>
      <c r="H196" s="2547"/>
      <c r="I196" s="1819"/>
      <c r="J196" s="2547">
        <f>'Part III-A-Uses of Funds'!J83</f>
        <v>11500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627200</v>
      </c>
      <c r="H199" s="2547"/>
      <c r="I199" s="1819"/>
      <c r="J199" s="2547">
        <f>SUM(J188:J198)</f>
        <v>589700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6945.7659574468089</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128695</v>
      </c>
      <c r="H201" s="2547"/>
      <c r="I201" s="1819"/>
      <c r="J201" s="2547">
        <f>'Part III-A-Uses of Funds'!J88</f>
        <v>128695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197756</v>
      </c>
      <c r="H202" s="2547"/>
      <c r="I202" s="1819"/>
      <c r="J202" s="2547">
        <f>'Part III-A-Uses of Funds'!J89</f>
        <v>197756</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326451</v>
      </c>
      <c r="H205" s="2547"/>
      <c r="I205" s="1819"/>
      <c r="J205" s="2547">
        <f>SUM(J201:J204)</f>
        <v>326451</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6958</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26500</v>
      </c>
      <c r="H210" s="2547"/>
      <c r="I210" s="1819"/>
      <c r="J210" s="2547"/>
      <c r="K210" s="2547"/>
      <c r="L210" s="2545"/>
      <c r="M210" s="2547"/>
      <c r="N210" s="2547"/>
      <c r="O210" s="1819"/>
      <c r="P210" s="2547"/>
      <c r="Q210" s="2547"/>
      <c r="R210" s="1819"/>
      <c r="S210" s="2547">
        <f>'Part III-A-Uses of Funds'!S97</f>
        <v>26500</v>
      </c>
      <c r="T210" s="2547"/>
      <c r="U210" s="1819"/>
      <c r="V210" s="2665"/>
    </row>
    <row r="211" spans="1:33">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c r="A212" s="1819"/>
      <c r="B212" s="1819" t="s">
        <v>1200</v>
      </c>
      <c r="C212" s="1819"/>
      <c r="D212" s="1819"/>
      <c r="E212" s="1819"/>
      <c r="F212" s="1819"/>
      <c r="G212" s="2547">
        <f>'Part III-A-Uses of Funds'!G99</f>
        <v>20000</v>
      </c>
      <c r="H212" s="2547"/>
      <c r="I212" s="1819"/>
      <c r="J212" s="2547"/>
      <c r="K212" s="2547"/>
      <c r="L212" s="2545"/>
      <c r="M212" s="2547"/>
      <c r="N212" s="2547"/>
      <c r="O212" s="1819"/>
      <c r="P212" s="2547"/>
      <c r="Q212" s="2547"/>
      <c r="R212" s="1819"/>
      <c r="S212" s="2547">
        <f>'Part III-A-Uses of Funds'!S99</f>
        <v>20000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46500</v>
      </c>
      <c r="H216" s="2547"/>
      <c r="I216" s="1819"/>
      <c r="J216" s="2547"/>
      <c r="K216" s="2547"/>
      <c r="L216" s="2545"/>
      <c r="M216" s="2547"/>
      <c r="N216" s="2547"/>
      <c r="O216" s="1819"/>
      <c r="P216" s="2547"/>
      <c r="Q216" s="2547"/>
      <c r="R216" s="1819"/>
      <c r="S216" s="2547">
        <f>SUM(S210:S215)</f>
        <v>46500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47</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37600</v>
      </c>
      <c r="F222" s="2561"/>
      <c r="G222" s="2547">
        <f>'Part III-A-Uses of Funds'!G109</f>
        <v>37600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37600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47</v>
      </c>
      <c r="AC226" s="1819"/>
      <c r="AD226" s="2703">
        <f>IF($AD$101="Income Averaging",AB226*'DCA Underwriting Assumptions'!$Q$61,AB226*'DCA Underwriting Assumptions'!$Q$60)</f>
        <v>37600</v>
      </c>
      <c r="AE226" s="1819"/>
      <c r="AF226" s="1819"/>
      <c r="AG226" s="1819"/>
    </row>
    <row r="227" spans="1:33">
      <c r="A227" s="1819"/>
      <c r="B227" s="1819"/>
      <c r="C227" s="1819"/>
      <c r="D227" s="1819"/>
      <c r="E227" s="1819"/>
      <c r="F227" s="2669" t="s">
        <v>184</v>
      </c>
      <c r="G227" s="2547">
        <f>SUM(G218:G226)</f>
        <v>153600</v>
      </c>
      <c r="H227" s="2547"/>
      <c r="I227" s="1819"/>
      <c r="J227" s="2545"/>
      <c r="K227" s="2545"/>
      <c r="L227" s="2545"/>
      <c r="M227" s="2545"/>
      <c r="N227" s="2545"/>
      <c r="O227" s="1819"/>
      <c r="P227" s="2545"/>
      <c r="Q227" s="2545"/>
      <c r="R227" s="1819"/>
      <c r="S227" s="2547">
        <f>SUM(S218:S226)</f>
        <v>153600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47</v>
      </c>
      <c r="AC228" s="1819"/>
      <c r="AD228" s="2706">
        <f>SUM(AD226:AD227)</f>
        <v>37600</v>
      </c>
      <c r="AE228" s="1819"/>
      <c r="AF228" s="1819"/>
      <c r="AG228" s="1819"/>
    </row>
    <row r="229" spans="1:33">
      <c r="A229" s="1819"/>
      <c r="B229" s="1819" t="s">
        <v>267</v>
      </c>
      <c r="C229" s="1819"/>
      <c r="D229" s="1819"/>
      <c r="E229" s="1819"/>
      <c r="F229" s="1819"/>
      <c r="G229" s="2547">
        <f>'Part III-A-Uses of Funds'!G116</f>
        <v>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75000</v>
      </c>
      <c r="H231" s="2547"/>
      <c r="I231" s="1819"/>
      <c r="J231" s="2547"/>
      <c r="K231" s="2547"/>
      <c r="L231" s="2545"/>
      <c r="M231" s="2547"/>
      <c r="N231" s="2547"/>
      <c r="O231" s="1819"/>
      <c r="P231" s="2547"/>
      <c r="Q231" s="2547"/>
      <c r="R231" s="1819"/>
      <c r="S231" s="2547">
        <f>'Part III-A-Uses of Funds'!S118</f>
        <v>75000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75000</v>
      </c>
      <c r="H233" s="2547"/>
      <c r="I233" s="1819"/>
      <c r="J233" s="2547"/>
      <c r="K233" s="2547"/>
      <c r="L233" s="2545"/>
      <c r="M233" s="2547"/>
      <c r="N233" s="2547"/>
      <c r="O233" s="1819"/>
      <c r="P233" s="2547"/>
      <c r="Q233" s="2547"/>
      <c r="R233" s="1819"/>
      <c r="S233" s="2547">
        <f>SUM(S229:S232)</f>
        <v>75000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c r="A235" s="1819"/>
      <c r="B235" s="1819" t="s">
        <v>1724</v>
      </c>
      <c r="C235" s="1819"/>
      <c r="D235" s="1819"/>
      <c r="E235" s="1819"/>
      <c r="F235" s="2649">
        <f>'Part III-A-Uses of Funds'!F122</f>
        <v>0</v>
      </c>
      <c r="G235" s="2547">
        <f>'Part III-A-Uses of Funds'!G122</f>
        <v>0</v>
      </c>
      <c r="H235" s="2547"/>
      <c r="I235" s="1819"/>
      <c r="J235" s="2547">
        <f>'Part III-A-Uses of Funds'!J122</f>
        <v>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c r="A239" s="1819"/>
      <c r="B239" s="1819" t="s">
        <v>1717</v>
      </c>
      <c r="C239" s="1819"/>
      <c r="D239" s="1819"/>
      <c r="E239" s="1819"/>
      <c r="F239" s="2649">
        <f>'Part III-A-Uses of Funds'!F126</f>
        <v>1</v>
      </c>
      <c r="G239" s="2547">
        <f>'Part III-A-Uses of Funds'!G126</f>
        <v>1292500</v>
      </c>
      <c r="H239" s="2547"/>
      <c r="I239" s="1819"/>
      <c r="J239" s="2547">
        <f>'Part III-A-Uses of Funds'!J126</f>
        <v>1292500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c r="A240" s="2714" t="str">
        <f>IF(G240&gt;E240,"DF over limit!  Round down/Enter nbr.","")</f>
        <v/>
      </c>
      <c r="B240" s="2715"/>
      <c r="C240" s="1819"/>
      <c r="D240" s="2654" t="s">
        <v>3921</v>
      </c>
      <c r="E240" s="2716">
        <f>'Part III-A-Uses of Funds'!E127</f>
        <v>1292500</v>
      </c>
      <c r="F240" s="2669" t="s">
        <v>184</v>
      </c>
      <c r="G240" s="2547">
        <f>SUM(G235:G239)</f>
        <v>1292500</v>
      </c>
      <c r="H240" s="2547"/>
      <c r="I240" s="1819"/>
      <c r="J240" s="2547">
        <f>SUM(J235:J239)</f>
        <v>1292500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23500</v>
      </c>
      <c r="H242" s="2547"/>
      <c r="I242" s="1819"/>
      <c r="J242" s="2560"/>
      <c r="K242" s="2560"/>
      <c r="L242" s="2560"/>
      <c r="M242" s="2560"/>
      <c r="N242" s="2560"/>
      <c r="O242" s="1819"/>
      <c r="P242" s="2560"/>
      <c r="Q242" s="2560"/>
      <c r="R242" s="1819"/>
      <c r="S242" s="2547">
        <f>'Part III-A-Uses of Funds'!S129</f>
        <v>23500</v>
      </c>
      <c r="T242" s="2547"/>
      <c r="U242" s="1819"/>
      <c r="V242" s="2665"/>
    </row>
    <row r="243" spans="1:22">
      <c r="A243" s="1819"/>
      <c r="B243" s="1819" t="s">
        <v>1436</v>
      </c>
      <c r="C243" s="1819"/>
      <c r="D243" s="1819"/>
      <c r="E243" s="1819"/>
      <c r="F243" s="2717">
        <f>'Part III-A-Uses of Funds'!F130</f>
        <v>85161.25</v>
      </c>
      <c r="G243" s="2547">
        <f>'Part III-A-Uses of Funds'!G130</f>
        <v>85161</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85161</v>
      </c>
      <c r="T243" s="2547"/>
      <c r="U243" s="1819"/>
      <c r="V243" s="2665"/>
    </row>
    <row r="244" spans="1:22">
      <c r="A244" s="1819"/>
      <c r="B244" s="1819" t="s">
        <v>632</v>
      </c>
      <c r="C244" s="1819"/>
      <c r="D244" s="1819"/>
      <c r="E244" s="1819"/>
      <c r="F244" s="2717">
        <f>'Part III-A-Uses of Funds'!F131</f>
        <v>264113.30860683444</v>
      </c>
      <c r="G244" s="2547">
        <f>'Part III-A-Uses of Funds'!G131</f>
        <v>264113</v>
      </c>
      <c r="H244" s="2547"/>
      <c r="I244" s="1819"/>
      <c r="J244" s="2565" t="str">
        <f>IF(E244&gt;G244,"WARNING! ODR proposed is below minimum - add comment.","")</f>
        <v/>
      </c>
      <c r="K244" s="2560"/>
      <c r="L244" s="2560"/>
      <c r="M244" s="2560"/>
      <c r="N244" s="2560"/>
      <c r="O244" s="1819"/>
      <c r="P244" s="2560"/>
      <c r="Q244" s="2560"/>
      <c r="R244" s="1819"/>
      <c r="S244" s="2547">
        <f>'Part III-A-Uses of Funds'!S131</f>
        <v>264113</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957.44680851063833</v>
      </c>
      <c r="G246" s="2547">
        <f>'Part III-A-Uses of Funds'!G133</f>
        <v>45000</v>
      </c>
      <c r="H246" s="2547"/>
      <c r="I246" s="1819"/>
      <c r="J246" s="2547">
        <f>'Part III-A-Uses of Funds'!J133</f>
        <v>45000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Hazard and Liability Insurance</v>
      </c>
      <c r="D247" s="2667"/>
      <c r="E247" s="2667"/>
      <c r="F247" s="2667"/>
      <c r="G247" s="2547">
        <f>'Part III-A-Uses of Funds'!G134</f>
        <v>34500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34500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452274</v>
      </c>
      <c r="H248" s="2547"/>
      <c r="I248" s="1819"/>
      <c r="J248" s="2547">
        <f>SUM(J246:J247)</f>
        <v>45000</v>
      </c>
      <c r="K248" s="2547"/>
      <c r="L248" s="2545"/>
      <c r="M248" s="2547">
        <f>SUM(M246:M247)</f>
        <v>0</v>
      </c>
      <c r="N248" s="2547"/>
      <c r="O248" s="1819"/>
      <c r="P248" s="2547">
        <f>SUM(P246:P247)</f>
        <v>0</v>
      </c>
      <c r="Q248" s="2547"/>
      <c r="R248" s="1819"/>
      <c r="S248" s="2547">
        <f>SUM(S242:S247)</f>
        <v>407274</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6958</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4">
      <c r="A259" s="1819"/>
      <c r="B259" s="2721" t="s">
        <v>6959</v>
      </c>
      <c r="C259" s="1819"/>
      <c r="D259" s="1819"/>
      <c r="E259" s="2670"/>
      <c r="F259" s="2722"/>
      <c r="G259" s="2567">
        <f>G131+G137+G141+G149+G154+G159+G168+G186+G199+G205+G216+G227+G233+G240+G248+G257</f>
        <v>20365239</v>
      </c>
      <c r="H259" s="2567"/>
      <c r="I259" s="1819"/>
      <c r="J259" s="2567">
        <f>J131+J137+J141+J149+J154+J159+J168+J186+J199+J205+J216+J227+J233+J240+J248+J257</f>
        <v>14679561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5715678</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6960</v>
      </c>
      <c r="C261" s="2681"/>
      <c r="D261" s="2568">
        <f>IF('Part V-Revenues &amp; Expenses'!$P$67=0,0,G259/'Part V-Revenues &amp; Expenses'!$P$67)</f>
        <v>433302.95744680852</v>
      </c>
      <c r="E261" s="2568"/>
      <c r="F261" s="2695" t="s">
        <v>2487</v>
      </c>
      <c r="G261" s="2568">
        <f>IF('Part V-Revenues &amp; Expenses'!$K$175=0,0,G259/'Part V-Revenues &amp; Expenses'!$K$175)</f>
        <v>502.22537607891491</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14679561</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14679561</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19083429.300000001</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0.7706535141800247</v>
      </c>
      <c r="K280" s="2729"/>
      <c r="L280" s="1819"/>
      <c r="M280" s="2729">
        <f>MIN('Part V-Revenues &amp; Expenses'!$P$63/'Part V-Revenues &amp; Expenses'!$P$65,'Part V-Revenues &amp; Expenses'!$P$164/'Part V-Revenues &amp; Expenses'!$P$166)</f>
        <v>0.7706535141800247</v>
      </c>
      <c r="N280" s="2729"/>
      <c r="O280" s="1819"/>
      <c r="P280" s="2729">
        <f>MIN('Part V-Revenues &amp; Expenses'!$P$63/'Part V-Revenues &amp; Expenses'!$P$65,'Part V-Revenues &amp; Expenses'!$P$164/'Part V-Revenues &amp; Expenses'!$P$166)</f>
        <v>0.7706535141800247</v>
      </c>
      <c r="Q280" s="2729"/>
      <c r="R280" s="2709"/>
      <c r="S280" s="2709"/>
      <c r="T280" s="2709"/>
      <c r="U280" s="1819"/>
      <c r="V280" s="2665"/>
    </row>
    <row r="281" spans="1:22">
      <c r="A281" s="1819"/>
      <c r="B281" s="1819" t="s">
        <v>1895</v>
      </c>
      <c r="C281" s="1819"/>
      <c r="D281" s="1819"/>
      <c r="E281" s="1819"/>
      <c r="F281" s="1819"/>
      <c r="G281" s="1819"/>
      <c r="H281" s="1819"/>
      <c r="I281" s="1819"/>
      <c r="J281" s="2648">
        <f>J279*J280</f>
        <v>14706711.85265105</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1323604.0667385946</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1323604</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4">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6961</v>
      </c>
      <c r="C289" s="1819"/>
      <c r="D289" s="1819"/>
      <c r="E289" s="1819"/>
      <c r="F289" s="1819"/>
      <c r="G289" s="1819"/>
      <c r="H289" s="1819"/>
      <c r="I289" s="1819"/>
      <c r="J289" s="2648">
        <f>G259</f>
        <v>20365239</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2650000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17715239</v>
      </c>
      <c r="K291" s="2648"/>
      <c r="L291" s="2648"/>
      <c r="M291" s="2727"/>
      <c r="N291" s="2727"/>
      <c r="O291" s="2727"/>
      <c r="P291" s="2727"/>
      <c r="Q291" s="2727"/>
      <c r="R291" s="1819"/>
      <c r="S291" s="2709"/>
      <c r="T291" s="2709"/>
      <c r="U291" s="1819"/>
      <c r="V291" s="2665"/>
    </row>
    <row r="292" spans="1:22">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c r="A293" s="1819"/>
      <c r="B293" s="1819" t="s">
        <v>1210</v>
      </c>
      <c r="C293" s="1819"/>
      <c r="D293" s="1819"/>
      <c r="E293" s="1819"/>
      <c r="F293" s="1819"/>
      <c r="G293" s="1819"/>
      <c r="H293" s="1819"/>
      <c r="I293" s="1819"/>
      <c r="J293" s="2648">
        <f>J291/10</f>
        <v>1771523.9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6962</v>
      </c>
      <c r="C295" s="1819"/>
      <c r="D295" s="1819"/>
      <c r="E295" s="1819"/>
      <c r="F295" s="1819"/>
      <c r="G295" s="1819"/>
      <c r="H295" s="1819"/>
      <c r="I295" s="1819"/>
      <c r="J295" s="2733">
        <f>N295+Q295</f>
        <v>1.4100000000000001</v>
      </c>
      <c r="K295" s="2733"/>
      <c r="L295" s="2733"/>
      <c r="M295" s="1622" t="s">
        <v>1212</v>
      </c>
      <c r="N295" s="2734">
        <f>'Part III-A-Uses of Funds'!N182</f>
        <v>0.86</v>
      </c>
      <c r="O295" s="2734"/>
      <c r="P295" s="1622" t="s">
        <v>570</v>
      </c>
      <c r="Q295" s="2734">
        <f>'Part III-A-Uses of Funds'!Q182</f>
        <v>0.55000000000000004</v>
      </c>
      <c r="R295" s="2734"/>
      <c r="S295" s="1819"/>
      <c r="T295" s="1819"/>
      <c r="U295" s="1819"/>
      <c r="V295" s="2665"/>
    </row>
    <row r="296" spans="1:22">
      <c r="A296" s="1819"/>
      <c r="B296" s="2614" t="s">
        <v>1340</v>
      </c>
      <c r="C296" s="1819"/>
      <c r="D296" s="1819"/>
      <c r="E296" s="1819"/>
      <c r="F296" s="1819"/>
      <c r="G296" s="1819"/>
      <c r="H296" s="1819"/>
      <c r="I296" s="1819"/>
      <c r="J296" s="2647">
        <f>ROUNDDOWN(IF(J295=0,"",J293/J295),0)</f>
        <v>1256399</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4">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6963</v>
      </c>
      <c r="C300" s="1819"/>
      <c r="D300" s="1819"/>
      <c r="E300" s="1819"/>
      <c r="F300" s="1819"/>
      <c r="G300" s="1819"/>
      <c r="H300" s="1819"/>
      <c r="I300" s="1819"/>
      <c r="J300" s="2647">
        <f>'Part III-A-Uses of Funds'!J187</f>
        <v>1225000</v>
      </c>
      <c r="K300" s="2647"/>
      <c r="L300" s="2647"/>
      <c r="M300" s="1819"/>
      <c r="N300" s="1819"/>
      <c r="O300" s="1819"/>
      <c r="P300" s="1819"/>
      <c r="Q300" s="2622" t="s">
        <v>6247</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4">
      <c r="A302" s="1819"/>
      <c r="B302" s="2614" t="s">
        <v>6964</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4">
      <c r="A304" s="2664"/>
      <c r="B304" s="2664" t="s">
        <v>6965</v>
      </c>
      <c r="C304" s="1819"/>
      <c r="D304" s="378"/>
      <c r="E304" s="378"/>
      <c r="F304" s="2623"/>
      <c r="G304" s="1819"/>
      <c r="H304" s="1819"/>
      <c r="I304" s="1819"/>
      <c r="J304" s="2647">
        <f>IF(J302="",0,+MIN(J300,J302))</f>
        <v>1225000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costs provided by general contractor with current pricing feedback from local contractors.  The cost of the commercial space (and associated site work) are included in the total construction cost but are not included in eligible basis as these would be open to the general public.  The construction contract includes the cost of water and sewer tap fees so these expenses are not itemized separately, although Payment and Performance bond cost is itemized separately.  Financing costs are based on proposed financing terms from the construction and permanent lender.  Construction interest calculation is based on a flow-of-funds projection using financing terms and the projected construction period.  Insurance costs are based on a current quote from Hausman Group.  Impact fees and permitting fees were calculated from current City of Atlanta fee schedules and an itemized calculation is included in Tab 2 of the application folders.  Equity pricing is in accordance with the provided LOI and projected pricing for the City of Atlanta location.</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6">
      <c r="A314" s="2739" t="str">
        <f>CONCATENATE("PART THREE (B) -  OTHER COSTS","  -  ",'Part I-Project Identification'!$O$7," - ",'Part I-Project Identification'!$F$25,"  -  ",'Part I-Project Identification'!$F$26,"  -  ",'Part I-Project Identification'!$J$26,",  ","County")</f>
        <v>PART THREE (B) -  OTHER COSTS  -  2023-0 - Fairhaven on Campbellton  -  Atlanta  -  Fulton,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6966</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t="str">
        <f>'Part III-B-Other Items'!F9</f>
        <v>Not applicable.</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t="str">
        <f>'Part III-B-Other Items'!F14</f>
        <v>Not applicable.</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t="str">
        <f>'Part III-B-Other Items'!F19</f>
        <v>Not applicable.</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t="str">
        <f>'Part III-B-Other Items'!F25</f>
        <v>Not applicable.</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t="str">
        <f>'Part III-B-Other Items'!F31</f>
        <v>Not applicable.</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t="str">
        <f>'Part III-B-Other Items'!F36</f>
        <v>Not applicable.</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t="str">
        <f>'Part III-B-Other Items'!F42</f>
        <v>Not applicable.</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t="str">
        <f>'Part III-B-Other Items'!F48</f>
        <v>Not applicable.</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6967</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t="str">
        <f>'Part III-B-Other Items'!F54</f>
        <v>Not applicable.</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t="str">
        <f>'Part III-B-Other Items'!F59</f>
        <v>Not applicable.</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6968</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t="str">
        <f>'Part III-B-Other Items'!F65</f>
        <v>Not applicable.</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Hazard and Liability Insurance</v>
      </c>
      <c r="B384" s="2571"/>
      <c r="C384" s="2571"/>
      <c r="D384" s="2571"/>
      <c r="E384" s="2745"/>
      <c r="F384" s="2572" t="str">
        <f>'Part III-B-Other Items'!F71</f>
        <v>The cost of one full year of hazard and liability insurance is included in the development budget, based upon the current quote obtained from Hausmann Group.</v>
      </c>
      <c r="G384" s="2747"/>
      <c r="H384" s="2572" t="str">
        <f>'Part III-B-Other Items'!H71</f>
        <v>This cost was not included in basis.</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34500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6969</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t="str">
        <f>'Part III-B-Other Items'!F77</f>
        <v>Not applicable.</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Fairhaven on Campbellton,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Local PHA</v>
      </c>
    </row>
    <row r="403" spans="1:13">
      <c r="A403" s="2754" t="s">
        <v>6970</v>
      </c>
    </row>
    <row r="405" spans="1:13" ht="28">
      <c r="A405" s="361" t="s">
        <v>573</v>
      </c>
      <c r="B405" s="361" t="s">
        <v>2059</v>
      </c>
      <c r="F405" s="359" t="s">
        <v>2317</v>
      </c>
      <c r="G405" s="359"/>
      <c r="H405" s="359"/>
      <c r="I405" s="2621" t="str">
        <f>'Part IV-Utility Allowances'!I7</f>
        <v>Atlanta Housing Authority</v>
      </c>
      <c r="J405" s="2621"/>
      <c r="K405" s="2621"/>
      <c r="L405" s="2621"/>
      <c r="M405" s="2621"/>
    </row>
    <row r="406" spans="1:13">
      <c r="A406" s="361"/>
      <c r="F406" s="359" t="s">
        <v>593</v>
      </c>
      <c r="G406" s="359"/>
      <c r="H406" s="359"/>
      <c r="I406" s="2755" t="str">
        <f>'Part IV-Utility Allowances'!I8</f>
        <v>eff. 1/1/2023</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7</v>
      </c>
      <c r="K410" s="1894">
        <f>'Part IV-Utility Allowances'!K12</f>
        <v>9</v>
      </c>
      <c r="L410" s="1894">
        <f>'Part IV-Utility Allowances'!L12</f>
        <v>11</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9</v>
      </c>
      <c r="K411" s="1894">
        <f>'Part IV-Utility Allowances'!K13</f>
        <v>11</v>
      </c>
      <c r="L411" s="1894">
        <f>'Part IV-Utility Allowances'!L13</f>
        <v>14</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18</v>
      </c>
      <c r="K412" s="1894">
        <f>'Part IV-Utility Allowances'!K14</f>
        <v>25</v>
      </c>
      <c r="L412" s="1894">
        <f>'Part IV-Utility Allowances'!L14</f>
        <v>32</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9</v>
      </c>
      <c r="K413" s="1894">
        <f>'Part IV-Utility Allowances'!K15</f>
        <v>16</v>
      </c>
      <c r="L413" s="1894">
        <f>'Part IV-Utility Allowances'!L15</f>
        <v>22</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39</v>
      </c>
      <c r="K416" s="1894">
        <f>'Part IV-Utility Allowances'!K18</f>
        <v>48</v>
      </c>
      <c r="L416" s="1894">
        <f>'Part IV-Utility Allowances'!L18</f>
        <v>57</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75</v>
      </c>
      <c r="K417" s="1894">
        <f>'Part IV-Utility Allowances'!K19</f>
        <v>117</v>
      </c>
      <c r="L417" s="1894">
        <f>'Part IV-Utility Allowances'!L19</f>
        <v>164</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157</v>
      </c>
      <c r="K420" s="2756">
        <f>IF(SUM(K410:K419)=0,0,IF(OR($D410="&lt;&lt;Select Fuel &gt;&gt;",$D411="&lt;&lt;Select Fuel &gt;&gt;",$D412="&lt;&lt;Select Fuel &gt;&gt;"),"Select Fuel",IF($E417="&lt;Select&gt;","Submeter?",SUM(K410:K419))))</f>
        <v>226</v>
      </c>
      <c r="L420" s="2756">
        <f>IF(SUM(L410:L419)=0,0,IF(OR($D410="&lt;&lt;Select Fuel &gt;&gt;",$D411="&lt;&lt;Select Fuel &gt;&gt;",$D412="&lt;&lt;Select Fuel &gt;&gt;"),"Select Fuel",IF($E417="&lt;Select&gt;","Submeter?",SUM(L410:L419))))</f>
        <v>300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404">
      <c r="B441" s="2757" t="str">
        <f>'Part IV-Utility Allowances'!B43</f>
        <v>Fairhaven on Campbellton is located within the city limits of City of Atlanta.  Atlanta Housing Authority maintains the utility allowance within the City of Atlanta and Fulton County.  The most current utility allowance available from Atlanta Housing Authority was used in this application.</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 customHeight="1">
      <c r="A449" s="1747" t="str">
        <f>CONCATENATE("PART FOUR - PROJECTED REVENUES &amp; EXPENSES","  -  ",'Part I-Project Identification'!$O$7," ",'Part I-Project Identification'!$F$25,", ",'Part I-Project Identification'!F477,", ",'Part I-Project Identification'!J477," County")</f>
        <v>PART FOUR - PROJECTED REVENUES &amp; EXPENSES  -  2023-0 Fairhaven on Campbellton,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Fairhaven on Campbellton,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5"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6971</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5" customHeight="1">
      <c r="A453" s="2763" t="str">
        <f>IF(A496&gt;0,"Finish Row!","")</f>
        <v/>
      </c>
      <c r="B453" s="1634" t="s">
        <v>6972</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6973</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5"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5" customHeight="1">
      <c r="A455" s="2763"/>
      <c r="B455" s="2774" t="s">
        <v>3763</v>
      </c>
      <c r="I455" s="2771"/>
      <c r="J455" s="2765" t="s">
        <v>743</v>
      </c>
      <c r="K455" s="2765" t="s">
        <v>3183</v>
      </c>
      <c r="L455" s="2621"/>
      <c r="M455" s="2621"/>
      <c r="N455" s="2775" t="s">
        <v>6479</v>
      </c>
      <c r="O455" s="2622" t="str">
        <f>'Part V-Revenues &amp; Expenses'!O8</f>
        <v>Novogradac &amp; Company LLP</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6974</v>
      </c>
      <c r="L456" s="1634" t="s">
        <v>139</v>
      </c>
      <c r="M456" s="1634"/>
      <c r="N456" s="2765" t="s">
        <v>2184</v>
      </c>
      <c r="O456" s="2765" t="s">
        <v>6482</v>
      </c>
      <c r="P456" s="2761" t="s">
        <v>6975</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4"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4"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4" customHeight="1">
      <c r="A460" s="2756" t="str">
        <f t="shared" si="0"/>
        <v/>
      </c>
      <c r="B460" s="2575" t="str">
        <f>'Part V-Revenues &amp; Expenses'!B13</f>
        <v>Unrestricted</v>
      </c>
      <c r="C460" s="2576">
        <f>'Part V-Revenues &amp; Expenses'!C13</f>
        <v>1</v>
      </c>
      <c r="D460" s="2577">
        <f>'Part V-Revenues &amp; Expenses'!D13</f>
        <v>1</v>
      </c>
      <c r="E460" s="2578">
        <f>'Part V-Revenues &amp; Expenses'!E13</f>
        <v>1</v>
      </c>
      <c r="F460" s="2578">
        <f>'Part V-Revenues &amp; Expenses'!F13</f>
        <v>650</v>
      </c>
      <c r="G460" s="2578">
        <f>'Part V-Revenues &amp; Expenses'!G13</f>
        <v>0</v>
      </c>
      <c r="H460" s="2578">
        <f>'Part V-Revenues &amp; Expenses'!H13</f>
        <v>1150</v>
      </c>
      <c r="I460" s="2578">
        <f>'Part V-Revenues &amp; Expenses'!I13</f>
        <v>0</v>
      </c>
      <c r="J460" s="2578">
        <f>'Part V-Revenues &amp; Expenses'!J13</f>
        <v>0</v>
      </c>
      <c r="K460" s="2579">
        <f>'Part V-Revenues &amp; Expenses'!K13</f>
        <v>0</v>
      </c>
      <c r="L460" s="2580">
        <f t="shared" si="1"/>
        <v>1150</v>
      </c>
      <c r="M460" s="2580">
        <f t="shared" si="2"/>
        <v>1150</v>
      </c>
      <c r="N460" s="2651" t="str">
        <f>'Part V-Revenues &amp; Expenses'!N13</f>
        <v>No</v>
      </c>
      <c r="O460" s="1320" t="str">
        <f>'Part V-Revenues &amp; Expenses'!O13</f>
        <v>High-Rise Elevator</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650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1</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f t="shared" si="284"/>
        <v>1</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1</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4" customHeight="1">
      <c r="A461" s="2756" t="str">
        <f t="shared" si="0"/>
        <v/>
      </c>
      <c r="B461" s="2575" t="str">
        <f>'Part V-Revenues &amp; Expenses'!B14</f>
        <v>Unrestricted</v>
      </c>
      <c r="C461" s="2576">
        <f>'Part V-Revenues &amp; Expenses'!C14</f>
        <v>2</v>
      </c>
      <c r="D461" s="2577">
        <f>'Part V-Revenues &amp; Expenses'!D14</f>
        <v>1</v>
      </c>
      <c r="E461" s="2578">
        <f>'Part V-Revenues &amp; Expenses'!E14</f>
        <v>5</v>
      </c>
      <c r="F461" s="2578">
        <f>'Part V-Revenues &amp; Expenses'!F14</f>
        <v>850</v>
      </c>
      <c r="G461" s="2578">
        <f>'Part V-Revenues &amp; Expenses'!G14</f>
        <v>0</v>
      </c>
      <c r="H461" s="2578">
        <f>'Part V-Revenues &amp; Expenses'!H14</f>
        <v>1230</v>
      </c>
      <c r="I461" s="2578">
        <f>'Part V-Revenues &amp; Expenses'!I14</f>
        <v>0</v>
      </c>
      <c r="J461" s="2578">
        <f>'Part V-Revenues &amp; Expenses'!J14</f>
        <v>0</v>
      </c>
      <c r="K461" s="2579">
        <f>'Part V-Revenues &amp; Expenses'!K14</f>
        <v>0</v>
      </c>
      <c r="L461" s="2580">
        <f t="shared" si="1"/>
        <v>1230</v>
      </c>
      <c r="M461" s="2580">
        <f t="shared" si="2"/>
        <v>6150</v>
      </c>
      <c r="N461" s="2651" t="str">
        <f>'Part V-Revenues &amp; Expenses'!N14</f>
        <v>No</v>
      </c>
      <c r="O461" s="1320" t="str">
        <f>'Part V-Revenues &amp; Expenses'!O14</f>
        <v>High-Rise Elevator</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5</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4250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5</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5</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f t="shared" si="285"/>
        <v>5</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5</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4" customHeight="1">
      <c r="A462" s="2756" t="str">
        <f t="shared" si="0"/>
        <v/>
      </c>
      <c r="B462" s="2575" t="str">
        <f>'Part V-Revenues &amp; Expenses'!B15</f>
        <v>Unrestricted</v>
      </c>
      <c r="C462" s="2576">
        <f>'Part V-Revenues &amp; Expenses'!C15</f>
        <v>3</v>
      </c>
      <c r="D462" s="2577">
        <f>'Part V-Revenues &amp; Expenses'!D15</f>
        <v>2</v>
      </c>
      <c r="E462" s="2578">
        <f>'Part V-Revenues &amp; Expenses'!E15</f>
        <v>4</v>
      </c>
      <c r="F462" s="2578">
        <f>'Part V-Revenues &amp; Expenses'!F15</f>
        <v>1100</v>
      </c>
      <c r="G462" s="2578">
        <f>'Part V-Revenues &amp; Expenses'!G15</f>
        <v>0</v>
      </c>
      <c r="H462" s="2578">
        <f>'Part V-Revenues &amp; Expenses'!H15</f>
        <v>1550</v>
      </c>
      <c r="I462" s="2578">
        <f>'Part V-Revenues &amp; Expenses'!I15</f>
        <v>0</v>
      </c>
      <c r="J462" s="2578">
        <f>'Part V-Revenues &amp; Expenses'!J15</f>
        <v>0</v>
      </c>
      <c r="K462" s="2579">
        <f>'Part V-Revenues &amp; Expenses'!K15</f>
        <v>0</v>
      </c>
      <c r="L462" s="2580">
        <f t="shared" si="1"/>
        <v>1550</v>
      </c>
      <c r="M462" s="2580">
        <f t="shared" si="2"/>
        <v>6200</v>
      </c>
      <c r="N462" s="2651" t="str">
        <f>'Part V-Revenues &amp; Expenses'!N15</f>
        <v>No</v>
      </c>
      <c r="O462" s="1320" t="str">
        <f>'Part V-Revenues &amp; Expenses'!O15</f>
        <v>High-Rise Elevator</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4</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4400</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4</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f t="shared" si="216"/>
        <v>4</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f t="shared" si="286"/>
        <v>4</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4</v>
      </c>
      <c r="MO462" s="1748">
        <f t="shared" si="337"/>
        <v>0</v>
      </c>
      <c r="MP462" s="1748">
        <f t="shared" si="328"/>
        <v>0</v>
      </c>
      <c r="MQ462" s="1748">
        <f t="shared" si="329"/>
        <v>0</v>
      </c>
      <c r="MR462" s="1748">
        <f t="shared" si="330"/>
        <v>0</v>
      </c>
      <c r="MS462" s="1748">
        <f t="shared" si="331"/>
        <v>0</v>
      </c>
      <c r="MT462" s="1748">
        <f t="shared" si="332"/>
        <v>0</v>
      </c>
      <c r="NP462" s="357" t="s">
        <v>6409</v>
      </c>
    </row>
    <row r="463" spans="1:380" ht="14"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4"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4" customHeight="1">
      <c r="A465" s="2756" t="str">
        <f t="shared" si="0"/>
        <v/>
      </c>
      <c r="B465" s="2575">
        <f>'Part V-Revenues &amp; Expenses'!B18</f>
        <v>0</v>
      </c>
      <c r="C465" s="2576">
        <f>'Part V-Revenues &amp; Expenses'!C18</f>
        <v>0</v>
      </c>
      <c r="D465" s="2577">
        <f>'Part V-Revenues &amp; Expenses'!D18</f>
        <v>0</v>
      </c>
      <c r="E465" s="2578">
        <f>'Part V-Revenues &amp; Expenses'!E18</f>
        <v>0</v>
      </c>
      <c r="F465" s="2578">
        <f>'Part V-Revenues &amp; Expenses'!F18</f>
        <v>0</v>
      </c>
      <c r="G465" s="2578">
        <f>'Part V-Revenues &amp; Expenses'!G18</f>
        <v>0</v>
      </c>
      <c r="H465" s="2578">
        <f>'Part V-Revenues &amp; Expenses'!H18</f>
        <v>0</v>
      </c>
      <c r="I465" s="2578">
        <f>'Part V-Revenues &amp; Expenses'!I18</f>
        <v>0</v>
      </c>
      <c r="J465" s="2578">
        <f>'Part V-Revenues &amp; Expenses'!J18</f>
        <v>0</v>
      </c>
      <c r="K465" s="2579">
        <f>'Part V-Revenues &amp; Expenses'!K18</f>
        <v>0</v>
      </c>
      <c r="L465" s="2580">
        <f t="shared" si="1"/>
        <v>0</v>
      </c>
      <c r="M465" s="2580">
        <f t="shared" si="2"/>
        <v>0</v>
      </c>
      <c r="N465" s="2651">
        <f>'Part V-Revenues &amp; Expenses'!N18</f>
        <v>0</v>
      </c>
      <c r="O465" s="1320">
        <f>'Part V-Revenues &amp; Expenses'!O18</f>
        <v>0</v>
      </c>
      <c r="P465" s="2651">
        <f>'Part V-Revenues &amp; Expenses'!P18</f>
        <v>0</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4" customHeight="1">
      <c r="A466" s="2756" t="str">
        <f t="shared" si="0"/>
        <v/>
      </c>
      <c r="B466" s="2575">
        <f>'Part V-Revenues &amp; Expenses'!B19</f>
        <v>60</v>
      </c>
      <c r="C466" s="2576">
        <f>'Part V-Revenues &amp; Expenses'!C19</f>
        <v>1</v>
      </c>
      <c r="D466" s="2577">
        <f>'Part V-Revenues &amp; Expenses'!D19</f>
        <v>1</v>
      </c>
      <c r="E466" s="2578">
        <f>'Part V-Revenues &amp; Expenses'!E19</f>
        <v>10</v>
      </c>
      <c r="F466" s="2578">
        <f>'Part V-Revenues &amp; Expenses'!F19</f>
        <v>650</v>
      </c>
      <c r="G466" s="2578">
        <f>'Part V-Revenues &amp; Expenses'!G19</f>
        <v>1085</v>
      </c>
      <c r="H466" s="2578">
        <f>'Part V-Revenues &amp; Expenses'!H19</f>
        <v>1084</v>
      </c>
      <c r="I466" s="2578">
        <f>'Part V-Revenues &amp; Expenses'!I19</f>
        <v>0</v>
      </c>
      <c r="J466" s="2578">
        <f>'Part V-Revenues &amp; Expenses'!J19</f>
        <v>157</v>
      </c>
      <c r="K466" s="2579">
        <f>'Part V-Revenues &amp; Expenses'!K19</f>
        <v>0</v>
      </c>
      <c r="L466" s="2580">
        <f t="shared" si="1"/>
        <v>927</v>
      </c>
      <c r="M466" s="2580">
        <f t="shared" si="2"/>
        <v>9270</v>
      </c>
      <c r="N466" s="2651" t="str">
        <f>'Part V-Revenues &amp; Expenses'!N19</f>
        <v>No</v>
      </c>
      <c r="O466" s="1320" t="str">
        <f>'Part V-Revenues &amp; Expenses'!O19</f>
        <v>High-Rise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10</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6500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10</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10</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f t="shared" si="284"/>
        <v>10</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4" customHeight="1">
      <c r="A467" s="2756" t="str">
        <f t="shared" si="0"/>
        <v/>
      </c>
      <c r="B467" s="2575">
        <f>'Part V-Revenues &amp; Expenses'!B20</f>
        <v>30</v>
      </c>
      <c r="C467" s="2576">
        <f>'Part V-Revenues &amp; Expenses'!C20</f>
        <v>1</v>
      </c>
      <c r="D467" s="2577">
        <f>'Part V-Revenues &amp; Expenses'!D20</f>
        <v>1</v>
      </c>
      <c r="E467" s="2578">
        <f>'Part V-Revenues &amp; Expenses'!E20</f>
        <v>1</v>
      </c>
      <c r="F467" s="2578">
        <f>'Part V-Revenues &amp; Expenses'!F20</f>
        <v>650</v>
      </c>
      <c r="G467" s="2578">
        <f>'Part V-Revenues &amp; Expenses'!G20</f>
        <v>542</v>
      </c>
      <c r="H467" s="2578">
        <f>'Part V-Revenues &amp; Expenses'!H20</f>
        <v>542</v>
      </c>
      <c r="I467" s="2578">
        <f>'Part V-Revenues &amp; Expenses'!I20</f>
        <v>0</v>
      </c>
      <c r="J467" s="2578">
        <f>'Part V-Revenues &amp; Expenses'!J20</f>
        <v>157</v>
      </c>
      <c r="K467" s="2579">
        <f>'Part V-Revenues &amp; Expenses'!K20</f>
        <v>0</v>
      </c>
      <c r="L467" s="2580">
        <f t="shared" si="1"/>
        <v>385</v>
      </c>
      <c r="M467" s="2580">
        <f t="shared" si="2"/>
        <v>385</v>
      </c>
      <c r="N467" s="2651" t="str">
        <f>'Part V-Revenues &amp; Expenses'!N20</f>
        <v>No</v>
      </c>
      <c r="O467" s="1320" t="str">
        <f>'Part V-Revenues &amp; Expenses'!O20</f>
        <v>High-Rise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f t="shared" si="29"/>
        <v>1</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f t="shared" si="49"/>
        <v>1</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f t="shared" si="144"/>
        <v>650</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f t="shared" si="284"/>
        <v>1</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4"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4" customHeight="1">
      <c r="A469" s="2756" t="str">
        <f t="shared" si="0"/>
        <v/>
      </c>
      <c r="B469" s="2575">
        <f>'Part V-Revenues &amp; Expenses'!B22</f>
        <v>60</v>
      </c>
      <c r="C469" s="2576">
        <f>'Part V-Revenues &amp; Expenses'!C22</f>
        <v>2</v>
      </c>
      <c r="D469" s="2577">
        <f>'Part V-Revenues &amp; Expenses'!D22</f>
        <v>1</v>
      </c>
      <c r="E469" s="2578">
        <f>'Part V-Revenues &amp; Expenses'!E22</f>
        <v>17</v>
      </c>
      <c r="F469" s="2578">
        <f>'Part V-Revenues &amp; Expenses'!F22</f>
        <v>850</v>
      </c>
      <c r="G469" s="2578">
        <f>'Part V-Revenues &amp; Expenses'!G22</f>
        <v>1302</v>
      </c>
      <c r="H469" s="2578">
        <f>'Part V-Revenues &amp; Expenses'!H22</f>
        <v>1302</v>
      </c>
      <c r="I469" s="2578">
        <f>'Part V-Revenues &amp; Expenses'!I22</f>
        <v>0</v>
      </c>
      <c r="J469" s="2578">
        <f>'Part V-Revenues &amp; Expenses'!J22</f>
        <v>226</v>
      </c>
      <c r="K469" s="2579">
        <f>'Part V-Revenues &amp; Expenses'!K22</f>
        <v>0</v>
      </c>
      <c r="L469" s="2580">
        <f t="shared" si="1"/>
        <v>1076</v>
      </c>
      <c r="M469" s="2580">
        <f t="shared" si="2"/>
        <v>18292</v>
      </c>
      <c r="N469" s="2651" t="str">
        <f>'Part V-Revenues &amp; Expenses'!N22</f>
        <v>No</v>
      </c>
      <c r="O469" s="1320" t="str">
        <f>'Part V-Revenues &amp; Expenses'!O22</f>
        <v>High-Rise Elevator</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17</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14450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17</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17</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f t="shared" si="285"/>
        <v>17</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17</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4" customHeight="1">
      <c r="A470" s="2756" t="str">
        <f t="shared" si="0"/>
        <v/>
      </c>
      <c r="B470" s="2575">
        <f>'Part V-Revenues &amp; Expenses'!B23</f>
        <v>30</v>
      </c>
      <c r="C470" s="2576">
        <f>'Part V-Revenues &amp; Expenses'!C23</f>
        <v>2</v>
      </c>
      <c r="D470" s="2577">
        <f>'Part V-Revenues &amp; Expenses'!D23</f>
        <v>1</v>
      </c>
      <c r="E470" s="2578">
        <f>'Part V-Revenues &amp; Expenses'!E23</f>
        <v>1</v>
      </c>
      <c r="F470" s="2578">
        <f>'Part V-Revenues &amp; Expenses'!F23</f>
        <v>850</v>
      </c>
      <c r="G470" s="2578">
        <f>'Part V-Revenues &amp; Expenses'!G23</f>
        <v>651</v>
      </c>
      <c r="H470" s="2578">
        <f>'Part V-Revenues &amp; Expenses'!H23</f>
        <v>651</v>
      </c>
      <c r="I470" s="2578">
        <f>'Part V-Revenues &amp; Expenses'!I23</f>
        <v>0</v>
      </c>
      <c r="J470" s="2578">
        <f>'Part V-Revenues &amp; Expenses'!J23</f>
        <v>226</v>
      </c>
      <c r="K470" s="2579">
        <f>'Part V-Revenues &amp; Expenses'!K23</f>
        <v>0</v>
      </c>
      <c r="L470" s="2580">
        <f t="shared" si="1"/>
        <v>425</v>
      </c>
      <c r="M470" s="2580">
        <f t="shared" si="2"/>
        <v>425</v>
      </c>
      <c r="N470" s="2651" t="str">
        <f>'Part V-Revenues &amp; Expenses'!N23</f>
        <v>No</v>
      </c>
      <c r="O470" s="1320" t="str">
        <f>'Part V-Revenues &amp; Expenses'!O23</f>
        <v>High-Rise Elevator</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f t="shared" si="30"/>
        <v>1</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f t="shared" si="50"/>
        <v>1</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f t="shared" si="145"/>
        <v>850</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1</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f t="shared" si="285"/>
        <v>1</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1</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4"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4" customHeight="1">
      <c r="A472" s="2756" t="str">
        <f t="shared" si="0"/>
        <v/>
      </c>
      <c r="B472" s="2575">
        <f>'Part V-Revenues &amp; Expenses'!B25</f>
        <v>60</v>
      </c>
      <c r="C472" s="2576">
        <f>'Part V-Revenues &amp; Expenses'!C25</f>
        <v>3</v>
      </c>
      <c r="D472" s="2577">
        <f>'Part V-Revenues &amp; Expenses'!D25</f>
        <v>2</v>
      </c>
      <c r="E472" s="2578">
        <f>'Part V-Revenues &amp; Expenses'!E25</f>
        <v>7</v>
      </c>
      <c r="F472" s="2578">
        <f>'Part V-Revenues &amp; Expenses'!F25</f>
        <v>1100</v>
      </c>
      <c r="G472" s="2578">
        <f>'Part V-Revenues &amp; Expenses'!G25</f>
        <v>1504</v>
      </c>
      <c r="H472" s="2578">
        <f>'Part V-Revenues &amp; Expenses'!H25</f>
        <v>1504</v>
      </c>
      <c r="I472" s="2578">
        <f>'Part V-Revenues &amp; Expenses'!I25</f>
        <v>0</v>
      </c>
      <c r="J472" s="2578">
        <f>'Part V-Revenues &amp; Expenses'!J25</f>
        <v>300</v>
      </c>
      <c r="K472" s="2579">
        <f>'Part V-Revenues &amp; Expenses'!K25</f>
        <v>0</v>
      </c>
      <c r="L472" s="2580">
        <f t="shared" si="1"/>
        <v>1204</v>
      </c>
      <c r="M472" s="2580">
        <f t="shared" si="2"/>
        <v>8428</v>
      </c>
      <c r="N472" s="2651" t="str">
        <f>'Part V-Revenues &amp; Expenses'!N25</f>
        <v>No</v>
      </c>
      <c r="O472" s="1320" t="str">
        <f>'Part V-Revenues &amp; Expenses'!O25</f>
        <v>High-Rise Elevator</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7</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7700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7</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7</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f t="shared" si="286"/>
        <v>7</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7</v>
      </c>
      <c r="MO472" s="1748">
        <f t="shared" si="337"/>
        <v>0</v>
      </c>
      <c r="MP472" s="1748">
        <f t="shared" si="328"/>
        <v>0</v>
      </c>
      <c r="MQ472" s="1748">
        <f t="shared" si="329"/>
        <v>0</v>
      </c>
      <c r="MR472" s="1748">
        <f t="shared" si="330"/>
        <v>0</v>
      </c>
      <c r="MS472" s="1748">
        <f t="shared" si="331"/>
        <v>0</v>
      </c>
      <c r="MT472" s="1748">
        <f t="shared" si="332"/>
        <v>0</v>
      </c>
      <c r="NP472" s="357" t="s">
        <v>6419</v>
      </c>
    </row>
    <row r="473" spans="1:380" ht="14" customHeight="1">
      <c r="A473" s="2756" t="str">
        <f t="shared" si="0"/>
        <v/>
      </c>
      <c r="B473" s="2575">
        <f>'Part V-Revenues &amp; Expenses'!B26</f>
        <v>30</v>
      </c>
      <c r="C473" s="2576">
        <f>'Part V-Revenues &amp; Expenses'!C26</f>
        <v>3</v>
      </c>
      <c r="D473" s="2577">
        <f>'Part V-Revenues &amp; Expenses'!D26</f>
        <v>2</v>
      </c>
      <c r="E473" s="2578">
        <f>'Part V-Revenues &amp; Expenses'!E26</f>
        <v>1</v>
      </c>
      <c r="F473" s="2578">
        <f>'Part V-Revenues &amp; Expenses'!F26</f>
        <v>1100</v>
      </c>
      <c r="G473" s="2578">
        <f>'Part V-Revenues &amp; Expenses'!G26</f>
        <v>752</v>
      </c>
      <c r="H473" s="2578">
        <f>'Part V-Revenues &amp; Expenses'!H26</f>
        <v>752</v>
      </c>
      <c r="I473" s="2578">
        <f>'Part V-Revenues &amp; Expenses'!I26</f>
        <v>0</v>
      </c>
      <c r="J473" s="2578">
        <f>'Part V-Revenues &amp; Expenses'!J26</f>
        <v>300</v>
      </c>
      <c r="K473" s="2579">
        <f>'Part V-Revenues &amp; Expenses'!K26</f>
        <v>0</v>
      </c>
      <c r="L473" s="2580">
        <f t="shared" si="1"/>
        <v>452</v>
      </c>
      <c r="M473" s="2580">
        <f t="shared" si="2"/>
        <v>452</v>
      </c>
      <c r="N473" s="2651" t="str">
        <f>'Part V-Revenues &amp; Expenses'!N26</f>
        <v>No</v>
      </c>
      <c r="O473" s="1320" t="str">
        <f>'Part V-Revenues &amp; Expenses'!O26</f>
        <v>High-Rise Elevator</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f t="shared" si="31"/>
        <v>1</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f t="shared" si="51"/>
        <v>1</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f t="shared" si="146"/>
        <v>1100</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1</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1</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f t="shared" si="286"/>
        <v>1</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1</v>
      </c>
      <c r="MO473" s="1748">
        <f t="shared" si="337"/>
        <v>0</v>
      </c>
      <c r="MP473" s="1748">
        <f t="shared" si="328"/>
        <v>0</v>
      </c>
      <c r="MQ473" s="1748">
        <f t="shared" si="329"/>
        <v>0</v>
      </c>
      <c r="MR473" s="1748">
        <f t="shared" si="330"/>
        <v>0</v>
      </c>
      <c r="MS473" s="1748">
        <f t="shared" si="331"/>
        <v>0</v>
      </c>
      <c r="MT473" s="1748">
        <f t="shared" si="332"/>
        <v>0</v>
      </c>
      <c r="NP473" s="357" t="s">
        <v>6420</v>
      </c>
    </row>
    <row r="474" spans="1:380" ht="14"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4"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4"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4"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4"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4"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4"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4"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4"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4"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4"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4"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4"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4"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4"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4"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4"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4"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4"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4"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4"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4"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4" customHeight="1">
      <c r="A496" s="2756">
        <f>COUNT(A458,A459,A460,A461,A462,A463,A464,A465,A466,A467,A468,A469,A470,A471,A472,A473,A474,A475,A476,A477,A478,A479,A480,A481,A482,A483,A484,A485,A486,A487)</f>
        <v>0</v>
      </c>
      <c r="B496" s="2785" t="s">
        <v>3768</v>
      </c>
      <c r="C496" s="2785"/>
      <c r="D496" s="2786" t="s">
        <v>954</v>
      </c>
      <c r="E496" s="2581">
        <f>SUM(E458:E495)</f>
        <v>47</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40550</v>
      </c>
      <c r="H496" s="2583" t="s">
        <v>3765</v>
      </c>
      <c r="I496" s="2787" t="s">
        <v>3766</v>
      </c>
      <c r="J496" s="2584" t="str">
        <f>IF(P514=0,"",IF(SUM(P505:P509)/P514&gt;=0.4,"Pass","Fail"))</f>
        <v>Pass</v>
      </c>
      <c r="K496" s="363"/>
      <c r="L496" s="2788" t="s">
        <v>1225</v>
      </c>
      <c r="M496" s="2585">
        <f>SUM(M458:M495)</f>
        <v>50752</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10</v>
      </c>
      <c r="AJ496" s="1749">
        <f t="shared" si="338"/>
        <v>17</v>
      </c>
      <c r="AK496" s="1749">
        <f t="shared" si="338"/>
        <v>7</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v>
      </c>
      <c r="AY496" s="1749">
        <f t="shared" si="338"/>
        <v>1</v>
      </c>
      <c r="AZ496" s="1749">
        <f t="shared" si="338"/>
        <v>1</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v>
      </c>
      <c r="BI496" s="1749">
        <f t="shared" si="338"/>
        <v>5</v>
      </c>
      <c r="BJ496" s="1749">
        <f t="shared" si="338"/>
        <v>4</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v>
      </c>
      <c r="BS496" s="1749">
        <f t="shared" si="338"/>
        <v>1</v>
      </c>
      <c r="BT496" s="1749">
        <f t="shared" si="338"/>
        <v>1</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6500</v>
      </c>
      <c r="EU496" s="1749">
        <f t="shared" si="338"/>
        <v>14450</v>
      </c>
      <c r="EV496" s="1749">
        <f t="shared" si="338"/>
        <v>7700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650</v>
      </c>
      <c r="FJ496" s="1749">
        <f t="shared" si="340"/>
        <v>850</v>
      </c>
      <c r="FK496" s="1749">
        <f t="shared" si="340"/>
        <v>1100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650</v>
      </c>
      <c r="FT496" s="1749">
        <f t="shared" si="340"/>
        <v>4250</v>
      </c>
      <c r="FU496" s="1749">
        <f t="shared" si="340"/>
        <v>4400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11</v>
      </c>
      <c r="GI496" s="1749">
        <f t="shared" si="340"/>
        <v>18</v>
      </c>
      <c r="GJ496" s="1749">
        <f t="shared" si="340"/>
        <v>8</v>
      </c>
      <c r="GK496" s="1749">
        <f t="shared" si="340"/>
        <v>0</v>
      </c>
      <c r="GL496" s="1749">
        <f t="shared" si="340"/>
        <v>0</v>
      </c>
      <c r="GM496" s="1749">
        <f t="shared" si="340"/>
        <v>1</v>
      </c>
      <c r="GN496" s="1749">
        <f t="shared" si="340"/>
        <v>5</v>
      </c>
      <c r="GO496" s="1749">
        <f t="shared" si="340"/>
        <v>4</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v>
      </c>
      <c r="IB496" s="1749">
        <f t="shared" si="341"/>
        <v>23</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12</v>
      </c>
      <c r="KT496" s="1749">
        <f>SUM(KT458:KT495)</f>
        <v>23</v>
      </c>
      <c r="KU496" s="1749">
        <f>SUM(KU458:KU495)</f>
        <v>12</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12</v>
      </c>
      <c r="MM496" s="1749">
        <f t="shared" si="343"/>
        <v>23</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4" customHeight="1">
      <c r="B497" s="2789">
        <f>'Part V-Revenues &amp; Expenses'!B50</f>
        <v>57.567567567567565</v>
      </c>
      <c r="C497" s="2789"/>
      <c r="D497" s="2756" t="s">
        <v>3675</v>
      </c>
      <c r="E497" s="2581">
        <f>SUM(E465:E495)</f>
        <v>37</v>
      </c>
      <c r="F497" s="2582">
        <f>(E465*F465+E466*F466+E467*F467+E468*F468+E469*F469+E470*F470+E471*F471+E472*F472+E473*F473+E474*F474+E475*F475+E476*F476+E477*F477+E478*F478+E479*F479+E480*F480+E481*F481+E482*F482+E483*F483+E484*F484+E485*F485+E486*F486+E487*F487+E488*F488+E489*F489+E490*F490+E491*F491+E492*F492+E493*F493+E494*F494+E495*F495)</f>
        <v>31250</v>
      </c>
      <c r="H497" s="2583"/>
      <c r="I497" s="2787" t="s">
        <v>3767</v>
      </c>
      <c r="J497" s="2584" t="str">
        <f>IF(P514=0,"",IF(SUM(P506:P509)/P514&gt;=0.2,"Pass","Fail"))</f>
        <v>Fail</v>
      </c>
      <c r="K497" s="363"/>
      <c r="L497" s="2786" t="s">
        <v>757</v>
      </c>
      <c r="M497" s="2585">
        <f>M496*12</f>
        <v>609024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6976</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5"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10</v>
      </c>
      <c r="M505" s="2586">
        <f>AJ496</f>
        <v>17</v>
      </c>
      <c r="N505" s="2586">
        <f>AK496</f>
        <v>7</v>
      </c>
      <c r="O505" s="2586">
        <f>AL496</f>
        <v>0</v>
      </c>
      <c r="P505" s="2586">
        <f t="shared" si="344"/>
        <v>34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1</v>
      </c>
      <c r="M508" s="2586">
        <f>AY496</f>
        <v>1</v>
      </c>
      <c r="N508" s="2586">
        <f>AZ496</f>
        <v>1</v>
      </c>
      <c r="O508" s="2586">
        <f>BA496</f>
        <v>0</v>
      </c>
      <c r="P508" s="2586">
        <f t="shared" si="344"/>
        <v>3</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11</v>
      </c>
      <c r="M510" s="2586">
        <f>SUM(M503:M509)</f>
        <v>18</v>
      </c>
      <c r="N510" s="2586">
        <f>SUM(N503:N509)</f>
        <v>8</v>
      </c>
      <c r="O510" s="2586">
        <f>SUM(O503:O509)</f>
        <v>0</v>
      </c>
      <c r="P510" s="2586">
        <f t="shared" si="344"/>
        <v>37</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1</v>
      </c>
      <c r="M511" s="2586">
        <f>BI496</f>
        <v>5</v>
      </c>
      <c r="N511" s="2586">
        <f>BJ496</f>
        <v>4</v>
      </c>
      <c r="O511" s="2586">
        <f>BK496</f>
        <v>0</v>
      </c>
      <c r="P511" s="2586">
        <f t="shared" si="344"/>
        <v>10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12</v>
      </c>
      <c r="M512" s="2587">
        <f>SUM(M510:M511)</f>
        <v>23</v>
      </c>
      <c r="N512" s="2587">
        <f>SUM(N510:N511)</f>
        <v>12</v>
      </c>
      <c r="O512" s="2587">
        <f>SUM(O510:O511)</f>
        <v>0</v>
      </c>
      <c r="P512" s="2587">
        <f t="shared" si="344"/>
        <v>47</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12</v>
      </c>
      <c r="M514" s="2588">
        <f>SUM(M512:M513)</f>
        <v>23</v>
      </c>
      <c r="N514" s="2588">
        <f>SUM(N512:N513)</f>
        <v>12</v>
      </c>
      <c r="O514" s="2588">
        <f>SUM(O512:O513)</f>
        <v>0</v>
      </c>
      <c r="P514" s="2588">
        <f t="shared" si="344"/>
        <v>47</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5"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6977</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6978</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6979</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6977</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6978</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ht="14">
      <c r="C523" s="2805" t="s">
        <v>4067</v>
      </c>
      <c r="D523" s="2621"/>
      <c r="E523" s="2621"/>
      <c r="F523" s="2621"/>
      <c r="H523" s="1503" t="s">
        <v>1081</v>
      </c>
      <c r="I523" s="362"/>
      <c r="J523" s="359"/>
      <c r="K523" s="2803" t="str">
        <f t="shared" ref="K523:P523" si="349">IF(OR(K505=0,K514=0),"",K505/K514)</f>
        <v/>
      </c>
      <c r="L523" s="2803">
        <f t="shared" si="349"/>
        <v>0.83333333333333337</v>
      </c>
      <c r="M523" s="2803">
        <f t="shared" si="349"/>
        <v>0.73913043478260865</v>
      </c>
      <c r="N523" s="2803">
        <f t="shared" si="349"/>
        <v>0.58333333333333337</v>
      </c>
      <c r="O523" s="2803" t="str">
        <f t="shared" si="349"/>
        <v/>
      </c>
      <c r="P523" s="2803">
        <f t="shared" si="349"/>
        <v>0.72340425531914898</v>
      </c>
      <c r="S523" s="2784"/>
      <c r="T523" s="2784"/>
      <c r="U523" s="2784"/>
      <c r="V523" s="2784"/>
      <c r="W523" s="2784"/>
    </row>
    <row r="524" spans="1:343" ht="15.75" customHeight="1">
      <c r="C524" s="2805"/>
      <c r="D524" s="2621"/>
      <c r="E524" s="2621"/>
      <c r="F524" s="2621"/>
      <c r="H524" s="1503" t="s">
        <v>6977</v>
      </c>
      <c r="I524" s="362"/>
      <c r="J524" s="359"/>
      <c r="K524" s="2804" t="str">
        <f>IF(OR(K505=0,P523="",K514=0),"",P523*K514)</f>
        <v/>
      </c>
      <c r="L524" s="2804">
        <f>IF(OR(L505=0,P523="",L514=0),"",P523*L514)</f>
        <v>8.6808510638297882</v>
      </c>
      <c r="M524" s="2804">
        <f>IF(OR(M505=0,P523="",M514=0),"",P523*M514)</f>
        <v>16.638297872340427</v>
      </c>
      <c r="N524" s="2804">
        <f>IF(OR(N505=0,P523="",N514=0),"",P523*N514)</f>
        <v>8.6808510638297882</v>
      </c>
      <c r="O524" s="2804" t="str">
        <f>IF(OR(O505=0,P523="",O514=0),"",P523*O514)</f>
        <v/>
      </c>
      <c r="P524" s="2804">
        <f>IF(OR(P523="",P514=0),"",P523*P514)</f>
        <v>34</v>
      </c>
      <c r="S524" s="2784"/>
      <c r="T524" s="2784"/>
      <c r="U524" s="2784"/>
      <c r="V524" s="2784"/>
      <c r="W524" s="2784"/>
    </row>
    <row r="525" spans="1:343" ht="15.75" customHeight="1">
      <c r="C525" s="2805"/>
      <c r="D525" s="2621"/>
      <c r="E525" s="2621"/>
      <c r="F525" s="2621"/>
      <c r="G525" s="2787"/>
      <c r="H525" s="1503" t="s">
        <v>6978</v>
      </c>
      <c r="I525" s="362"/>
      <c r="J525" s="359"/>
      <c r="K525" s="2804" t="str">
        <f t="shared" ref="K525:P525" si="350">IF(OR(K524="",K505=0),"", K505-K524)</f>
        <v/>
      </c>
      <c r="L525" s="2804">
        <f t="shared" si="350"/>
        <v>1.3191489361702118</v>
      </c>
      <c r="M525" s="2804">
        <f t="shared" si="350"/>
        <v>0.36170212765957288</v>
      </c>
      <c r="N525" s="2804">
        <f t="shared" si="350"/>
        <v>-1.6808510638297882</v>
      </c>
      <c r="O525" s="2804" t="str">
        <f t="shared" si="350"/>
        <v/>
      </c>
      <c r="P525" s="2804">
        <f t="shared" si="350"/>
        <v>0</v>
      </c>
    </row>
    <row r="526" spans="1:343" ht="14">
      <c r="C526" s="2805" t="s">
        <v>4067</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6977</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6978</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ht="14">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6977</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6978</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ht="14">
      <c r="C532" s="2805" t="s">
        <v>4067</v>
      </c>
      <c r="H532" s="1503" t="s">
        <v>3679</v>
      </c>
      <c r="I532" s="362"/>
      <c r="J532" s="359"/>
      <c r="K532" s="2803" t="str">
        <f t="shared" ref="K532:P532" si="355">IF(OR(K508=0,K514=0),"",K508/K514)</f>
        <v/>
      </c>
      <c r="L532" s="2803">
        <f t="shared" si="355"/>
        <v>8.3333333333333329E-2</v>
      </c>
      <c r="M532" s="2803">
        <f t="shared" si="355"/>
        <v>4.3478260869565216E-2</v>
      </c>
      <c r="N532" s="2803">
        <f t="shared" si="355"/>
        <v>8.3333333333333329E-2</v>
      </c>
      <c r="O532" s="2803" t="str">
        <f t="shared" si="355"/>
        <v/>
      </c>
      <c r="P532" s="2803">
        <f t="shared" si="355"/>
        <v>6.3829787234042548E-2</v>
      </c>
    </row>
    <row r="533" spans="1:343">
      <c r="C533" s="2805"/>
      <c r="H533" s="1503" t="s">
        <v>6977</v>
      </c>
      <c r="I533" s="362"/>
      <c r="J533" s="359"/>
      <c r="K533" s="2804" t="str">
        <f>IF(OR(K508=0,P532="",K514=0),"",P532*K514)</f>
        <v/>
      </c>
      <c r="L533" s="2804">
        <f>IF(OR(L508=0,P532="",L514=0),"",P532*L514)</f>
        <v>0.76595744680851063</v>
      </c>
      <c r="M533" s="2804">
        <f>IF(OR(M508=0,P532="",M514=0),"",P532*M514)</f>
        <v>1.4680851063829785</v>
      </c>
      <c r="N533" s="2804">
        <f>IF(OR(N508=0,P532="",N514=0),"",P532*N514)</f>
        <v>0.76595744680851063</v>
      </c>
      <c r="O533" s="2804" t="str">
        <f>IF(OR(O508=0,P532="",O514=0),"",P532*O514)</f>
        <v/>
      </c>
      <c r="P533" s="2804">
        <f>IF(OR(P532="",P514=0),"",P532*P514)</f>
        <v>2.9999999999999996</v>
      </c>
    </row>
    <row r="534" spans="1:343">
      <c r="C534" s="2805"/>
      <c r="G534" s="2787"/>
      <c r="H534" s="1503" t="s">
        <v>6978</v>
      </c>
      <c r="I534" s="362"/>
      <c r="J534" s="359"/>
      <c r="K534" s="2804" t="str">
        <f t="shared" ref="K534:P534" si="356">IF(OR(K533="",K508=0),"", K508-K533)</f>
        <v/>
      </c>
      <c r="L534" s="2804">
        <f t="shared" si="356"/>
        <v>0.23404255319148937</v>
      </c>
      <c r="M534" s="2804">
        <f t="shared" si="356"/>
        <v>-0.46808510638297851</v>
      </c>
      <c r="N534" s="2804">
        <f t="shared" si="356"/>
        <v>0.23404255319148937</v>
      </c>
      <c r="O534" s="2804" t="str">
        <f t="shared" si="356"/>
        <v/>
      </c>
      <c r="P534" s="2804">
        <f t="shared" si="356"/>
        <v>4.4408920985006262E-16</v>
      </c>
    </row>
    <row r="535" spans="1:343" ht="14">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6977</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6978</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1</v>
      </c>
      <c r="M545" s="2586">
        <f>BS496</f>
        <v>1</v>
      </c>
      <c r="N545" s="2586">
        <f>BT496</f>
        <v>1</v>
      </c>
      <c r="O545" s="2586">
        <f>BU496</f>
        <v>0</v>
      </c>
      <c r="P545" s="2586">
        <f t="shared" si="359"/>
        <v>3</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1</v>
      </c>
      <c r="N547" s="2588">
        <f>SUM(N540:N546)</f>
        <v>1</v>
      </c>
      <c r="O547" s="2588">
        <f>SUM(O540:O546)</f>
        <v>0</v>
      </c>
      <c r="P547" s="2588">
        <f t="shared" si="359"/>
        <v>3</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5" customHeight="1">
      <c r="A549" s="361" t="s">
        <v>689</v>
      </c>
      <c r="B549" s="361" t="s">
        <v>6980</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11</v>
      </c>
      <c r="M560" s="2586">
        <f>GI496</f>
        <v>18</v>
      </c>
      <c r="N560" s="2586">
        <f>GJ496</f>
        <v>8</v>
      </c>
      <c r="O560" s="2586">
        <f>GK496</f>
        <v>0</v>
      </c>
      <c r="P560" s="2586">
        <f t="shared" ref="P560:P570" si="361">SUM(K560:O560)</f>
        <v>37</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1</v>
      </c>
      <c r="M561" s="2586">
        <f>GN496</f>
        <v>5</v>
      </c>
      <c r="N561" s="2586">
        <f>GO496</f>
        <v>4</v>
      </c>
      <c r="O561" s="2586">
        <f>GP496</f>
        <v>0</v>
      </c>
      <c r="P561" s="2586">
        <f t="shared" si="361"/>
        <v>10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12</v>
      </c>
      <c r="M562" s="2588">
        <f>SUM(M560:M561)+GS496</f>
        <v>23</v>
      </c>
      <c r="N562" s="2588">
        <f>SUM(N560:N561)+GT496</f>
        <v>12</v>
      </c>
      <c r="O562" s="2588">
        <f>SUM(O560:O561)+GU496</f>
        <v>0</v>
      </c>
      <c r="P562" s="2588">
        <f t="shared" si="361"/>
        <v>47</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6981</v>
      </c>
      <c r="D574" s="2784"/>
      <c r="E574" s="1503" t="s">
        <v>36</v>
      </c>
      <c r="F574" s="359"/>
      <c r="G574" s="2622"/>
      <c r="H574" s="360"/>
      <c r="K574" s="2588">
        <f t="shared" ref="K574:P574" si="362">SUM(K575:K582)</f>
        <v>0</v>
      </c>
      <c r="L574" s="2588">
        <f t="shared" si="362"/>
        <v>12</v>
      </c>
      <c r="M574" s="2588">
        <f t="shared" si="362"/>
        <v>23</v>
      </c>
      <c r="N574" s="2588">
        <f t="shared" si="362"/>
        <v>12</v>
      </c>
      <c r="O574" s="2588">
        <f t="shared" si="362"/>
        <v>0</v>
      </c>
      <c r="P574" s="2588">
        <f t="shared" si="362"/>
        <v>47</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12</v>
      </c>
      <c r="M581" s="2586">
        <f>KT496</f>
        <v>23</v>
      </c>
      <c r="N581" s="2586">
        <f>KU496</f>
        <v>12</v>
      </c>
      <c r="O581" s="2586">
        <f>KV496</f>
        <v>0</v>
      </c>
      <c r="P581" s="2586">
        <f t="shared" si="363"/>
        <v>47</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5" customHeight="1">
      <c r="A592" s="361" t="s">
        <v>689</v>
      </c>
      <c r="B592" s="361" t="s">
        <v>6980</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6982</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12</v>
      </c>
      <c r="M600" s="2586">
        <f t="shared" si="367"/>
        <v>23</v>
      </c>
      <c r="N600" s="2586">
        <f t="shared" si="367"/>
        <v>12</v>
      </c>
      <c r="O600" s="2586">
        <f t="shared" si="367"/>
        <v>0</v>
      </c>
      <c r="P600" s="2588">
        <f t="shared" si="365"/>
        <v>47</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6983</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6500</v>
      </c>
      <c r="M606" s="2590">
        <f>EU496</f>
        <v>14450</v>
      </c>
      <c r="N606" s="2590">
        <f>EV496</f>
        <v>7700</v>
      </c>
      <c r="O606" s="2590">
        <f>EW496</f>
        <v>0</v>
      </c>
      <c r="P606" s="2590">
        <f t="shared" si="368"/>
        <v>28650</v>
      </c>
      <c r="Q606" s="2804">
        <f t="shared" si="369"/>
        <v>842.64705882352939</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650</v>
      </c>
      <c r="M609" s="2590">
        <f>FJ496</f>
        <v>850</v>
      </c>
      <c r="N609" s="2590">
        <f>FK496</f>
        <v>1100</v>
      </c>
      <c r="O609" s="2590">
        <f>FL496</f>
        <v>0</v>
      </c>
      <c r="P609" s="2590">
        <f t="shared" si="368"/>
        <v>2600</v>
      </c>
      <c r="Q609" s="2804">
        <f t="shared" si="369"/>
        <v>866.66666666666663</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7150</v>
      </c>
      <c r="M611" s="2591">
        <f>SUM(M604:M610)</f>
        <v>15300</v>
      </c>
      <c r="N611" s="2591">
        <f>SUM(N604:N610)</f>
        <v>8800</v>
      </c>
      <c r="O611" s="2591">
        <f>SUM(O604:O610)</f>
        <v>0</v>
      </c>
      <c r="P611" s="2591">
        <f>SUM(K611:O611)</f>
        <v>31250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650</v>
      </c>
      <c r="M612" s="2590">
        <f>FT496</f>
        <v>4250</v>
      </c>
      <c r="N612" s="2590">
        <f>FU496</f>
        <v>4400</v>
      </c>
      <c r="O612" s="2590">
        <f>FV496</f>
        <v>0</v>
      </c>
      <c r="P612" s="2590">
        <f>SUM(K612:O612)</f>
        <v>9300</v>
      </c>
      <c r="Q612" s="2804">
        <f>IF(OR(P511=0,P511=""),"",P612/P511)</f>
        <v>930</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7800</v>
      </c>
      <c r="M613" s="2592">
        <f>SUM(M611:M612)</f>
        <v>19550</v>
      </c>
      <c r="N613" s="2592">
        <f>SUM(N611:N612)</f>
        <v>13200</v>
      </c>
      <c r="O613" s="2592">
        <f>SUM(O611:O612)</f>
        <v>0</v>
      </c>
      <c r="P613" s="2592">
        <f>SUM(K613:O613)</f>
        <v>40550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7800</v>
      </c>
      <c r="M615" s="2593">
        <f>SUM(M613:M614)</f>
        <v>19550</v>
      </c>
      <c r="N615" s="2593">
        <f>SUM(N613:N614)</f>
        <v>13200</v>
      </c>
      <c r="O615" s="2593">
        <f>SUM(O613:O614)</f>
        <v>0</v>
      </c>
      <c r="P615" s="2593">
        <f>SUM(K615:O615)</f>
        <v>40550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818" t="str">
        <f>IF(OR(K514="",K514=0),"",K615/K514)</f>
        <v/>
      </c>
      <c r="L618" s="2818">
        <f>IF(OR(L514="",L514=0),"",L615/L514)</f>
        <v>650</v>
      </c>
      <c r="M618" s="2818">
        <f>IF(OR(M514="",M514=0),"",M615/M514)</f>
        <v>850</v>
      </c>
      <c r="N618" s="2818">
        <f>IF(OR(N514="",N514=0),"",N615/N514)</f>
        <v>1100</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6985</v>
      </c>
      <c r="K621" s="2549">
        <f>'Part V-Revenues &amp; Expenses'!K174</f>
        <v>0</v>
      </c>
      <c r="L621" s="2549"/>
      <c r="Z621" s="1622">
        <v>68</v>
      </c>
    </row>
    <row r="622" spans="1:380" s="1819" customFormat="1" ht="13.25" customHeight="1">
      <c r="A622" s="2615"/>
      <c r="C622" s="377" t="s">
        <v>242</v>
      </c>
      <c r="K622" s="2549">
        <f>P615+K621</f>
        <v>40550</v>
      </c>
      <c r="L622" s="2549"/>
      <c r="Z622" s="1622">
        <v>69</v>
      </c>
    </row>
    <row r="623" spans="1:380" s="359" customFormat="1" ht="14"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5" customHeight="1">
      <c r="B626" s="1634" t="s">
        <v>952</v>
      </c>
      <c r="C626" s="1503"/>
      <c r="D626" s="1503"/>
      <c r="E626" s="1503"/>
      <c r="F626" s="1503"/>
      <c r="G626" s="1503"/>
      <c r="H626" s="2820">
        <f>'Part V-Revenues &amp; Expenses'!H179</f>
        <v>12180.48</v>
      </c>
      <c r="I626" s="2820"/>
      <c r="J626" s="2810" t="s">
        <v>6987</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5"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5"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5"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5"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5"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5"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5" customHeight="1">
      <c r="B633" s="2823" t="s">
        <v>6988</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5"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5"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5" customHeight="1">
      <c r="B636" s="1503"/>
      <c r="C636" s="1503" t="s">
        <v>6989</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5"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5"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5"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5"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5"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5" customHeight="1">
      <c r="B642" s="2823" t="s">
        <v>6988</v>
      </c>
      <c r="C642" s="360"/>
      <c r="D642" s="360"/>
      <c r="E642" s="360"/>
      <c r="F642" s="360"/>
      <c r="H642" s="2825"/>
      <c r="I642" s="360"/>
      <c r="J642" s="360"/>
      <c r="K642" s="360"/>
      <c r="L642" s="360"/>
      <c r="M642" s="360"/>
      <c r="N642" s="360"/>
      <c r="O642" s="360"/>
      <c r="P642" s="360"/>
      <c r="Q642" s="360"/>
      <c r="S642" s="359" t="str">
        <f>B642</f>
        <v>NOT Included in Mgt Fee:</v>
      </c>
    </row>
    <row r="643" spans="2:343" ht="15.5"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5"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5" customHeight="1">
      <c r="B645" s="1503"/>
      <c r="C645" s="1503" t="s">
        <v>6989</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5" customHeight="1">
      <c r="B646" s="2781"/>
      <c r="C646" s="360"/>
      <c r="D646" s="360"/>
      <c r="E646" s="360"/>
      <c r="F646" s="360"/>
      <c r="H646" s="2825"/>
      <c r="I646" s="360"/>
      <c r="J646" s="360"/>
      <c r="K646" s="360"/>
      <c r="L646" s="360"/>
      <c r="M646" s="360"/>
      <c r="N646" s="360"/>
      <c r="O646" s="360"/>
      <c r="P646" s="360"/>
      <c r="Q646" s="360"/>
    </row>
    <row r="647" spans="2:343" ht="15.5"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5"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5"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5"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5" customHeight="1">
      <c r="B651" s="2823" t="s">
        <v>6988</v>
      </c>
      <c r="C651" s="360"/>
      <c r="D651" s="360"/>
      <c r="E651" s="360"/>
      <c r="F651" s="360"/>
      <c r="H651" s="2825"/>
      <c r="I651" s="360"/>
      <c r="J651" s="360"/>
      <c r="K651" s="360"/>
      <c r="L651" s="360"/>
      <c r="M651" s="360"/>
      <c r="N651" s="360"/>
      <c r="O651" s="360"/>
      <c r="P651" s="360"/>
      <c r="Q651" s="360"/>
      <c r="S651" s="359" t="str">
        <f>B651</f>
        <v>NOT Included in Mgt Fee:</v>
      </c>
    </row>
    <row r="652" spans="2:343" ht="15.5"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5"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5" customHeight="1">
      <c r="B654" s="1503"/>
      <c r="C654" s="1503" t="s">
        <v>6989</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5"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5"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5"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5"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5"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5" customHeight="1">
      <c r="B660" s="2823" t="s">
        <v>6988</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5"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5"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5" customHeight="1">
      <c r="B663" s="1503"/>
      <c r="C663" s="1503" t="s">
        <v>6989</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34663</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38654</v>
      </c>
      <c r="G668" s="2590"/>
      <c r="I668" s="359" t="s">
        <v>1300</v>
      </c>
      <c r="L668" s="2590">
        <f>'Part V-Revenues &amp; Expenses'!L221</f>
        <v>0</v>
      </c>
      <c r="M668" s="2590"/>
      <c r="O668" s="2599">
        <f>+Q667/(P514*0.93)</f>
        <v>793.02219171814227</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41150</v>
      </c>
      <c r="G669" s="2590"/>
      <c r="I669" s="359" t="s">
        <v>1301</v>
      </c>
      <c r="L669" s="2590">
        <f>'Part V-Revenues &amp; Expenses'!L222</f>
        <v>0</v>
      </c>
      <c r="M669" s="2590"/>
      <c r="O669" s="2599">
        <f>+Q667/(P514*0.93)/12</f>
        <v>66.085182643178527</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3666</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83470</v>
      </c>
      <c r="G674" s="2590"/>
      <c r="I674" s="359" t="s">
        <v>1497</v>
      </c>
      <c r="L674" s="2590">
        <f>'Part V-Revenues &amp; Expenses'!L227</f>
        <v>1410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5665</v>
      </c>
      <c r="M675" s="2590"/>
      <c r="N675" s="2771" t="str">
        <f>IF(Q677="","",IF(Q675&lt;Q677, "WARNING! OE below required minimum.",""))</f>
        <v/>
      </c>
      <c r="O675" s="1747" t="s">
        <v>2029</v>
      </c>
      <c r="Q675" s="2818">
        <f>F674+F683+F694+L670+L678+L688+L694+Q667</f>
        <v>340645</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1175</v>
      </c>
      <c r="M676" s="2590"/>
      <c r="N676" s="2771"/>
      <c r="O676" s="2799" t="s">
        <v>2486</v>
      </c>
      <c r="P676" s="2599">
        <f>+Q675/P514</f>
        <v>7247.7659574468089</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3650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211500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1200</v>
      </c>
      <c r="G678" s="2590"/>
      <c r="I678" s="1747"/>
      <c r="K678" s="2828" t="s">
        <v>184</v>
      </c>
      <c r="L678" s="2818">
        <f>SUM(L674:L677)</f>
        <v>8250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940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5230</v>
      </c>
      <c r="G681" s="2590"/>
      <c r="I681" s="1747" t="s">
        <v>1297</v>
      </c>
      <c r="K681" s="1622" t="s">
        <v>3883</v>
      </c>
      <c r="O681" s="1747" t="s">
        <v>3085</v>
      </c>
      <c r="P681" s="1747"/>
      <c r="Q681" s="2600">
        <f>'Part V-Revenues &amp; Expenses'!Q234</f>
        <v>11750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15.24822695035461</v>
      </c>
      <c r="L682" s="2590">
        <f>'Part V-Revenues &amp; Expenses'!L235</f>
        <v>8600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11020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14.184397163120567</v>
      </c>
      <c r="L684" s="2590">
        <f>'Part V-Revenues &amp; Expenses'!L237</f>
        <v>8000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12.5</v>
      </c>
      <c r="L685" s="2590">
        <f>'Part V-Revenues &amp; Expenses'!L238</f>
        <v>7050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5993</v>
      </c>
      <c r="G686" s="2590"/>
      <c r="I686" s="359" t="s">
        <v>6990</v>
      </c>
      <c r="K686" s="2717">
        <f>L686/12/P514</f>
        <v>52</v>
      </c>
      <c r="L686" s="2590">
        <f>'Part V-Revenues &amp; Expenses'!L239</f>
        <v>29328</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16393</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47 units x $250 =</v>
      </c>
      <c r="Q687" s="2837">
        <f>'Part V-Revenues &amp; Expenses'!Q240</f>
        <v>11750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16450</v>
      </c>
      <c r="G688" s="2590"/>
      <c r="K688" s="2828" t="s">
        <v>184</v>
      </c>
      <c r="L688" s="2818">
        <f>SUM(L682:L687)</f>
        <v>52978</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3525</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7050</v>
      </c>
      <c r="G690" s="2590"/>
      <c r="I690" s="1747" t="s">
        <v>1298</v>
      </c>
      <c r="O690" s="2788" t="s">
        <v>2467</v>
      </c>
      <c r="P690" s="2782">
        <f>'Part V-Revenues &amp; Expenses'!P243</f>
        <v>47</v>
      </c>
      <c r="Q690" s="2838">
        <f>SUM(Q686:Q689)</f>
        <v>11750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8225</v>
      </c>
      <c r="G691" s="2590"/>
      <c r="I691" s="359" t="s">
        <v>6991</v>
      </c>
      <c r="L691" s="2590">
        <f>'Part V-Revenues &amp; Expenses'!L244</f>
        <v>52840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5288</v>
      </c>
      <c r="G692" s="2590"/>
      <c r="I692" s="359" t="s">
        <v>140</v>
      </c>
      <c r="L692" s="2590">
        <f>'Part V-Revenues &amp; Expenses'!L245</f>
        <v>34500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62924</v>
      </c>
      <c r="G694" s="2590"/>
      <c r="K694" s="2828" t="s">
        <v>184</v>
      </c>
      <c r="L694" s="2818">
        <f>SUM(L690:L693)</f>
        <v>87340</v>
      </c>
      <c r="M694" s="2818"/>
      <c r="O694" s="1747" t="s">
        <v>2030</v>
      </c>
      <c r="Q694" s="2818">
        <f>Q675+Q681</f>
        <v>352395</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5"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Rents are based on 2022 HUD maximum allowable rents.   Utility allowance is determined by the most recent available allowance published by Atlanta Housing Authority.  Operating expenses were reviewed and adjusted by local experienced management representatives which included provision of a staffing plan.  Property insurance amount was determined by a development-specific quote from Hausman Group.  Real estate tax estimate based upon comparison of cost approach and income approach (using 10% cap rate) using specific project metrics.  Cost to provide high-speed internet to residents is included as a utility cost ($52/mo) and calculated from an Xfinity estimate in the service area.   The proposed operating expense budget meets or exceeds DCA underwriting requirements for a 2023 Atlanta Metro application.  No revenue is included in the pro forma for the commercial space and therefore no revenues are necessary from the commercial space in order to enable the financial feasibility of the development.  Operating costs associated with the commercial space would be borne by the tenants and are therefore not included in the operating budget estimate.</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Fairhaven on Campbellton,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6992</v>
      </c>
    </row>
    <row r="712" spans="1:11">
      <c r="C712" s="2771"/>
    </row>
    <row r="713" spans="1:11" ht="12.75" customHeight="1">
      <c r="A713" s="357" t="s">
        <v>2031</v>
      </c>
      <c r="B713" s="2841">
        <f>'DCA Underwriting Assumptions'!$Q$99</f>
        <v>0.02</v>
      </c>
      <c r="C713" s="2771"/>
      <c r="D713" s="2784" t="s">
        <v>6993</v>
      </c>
      <c r="E713" s="2784"/>
      <c r="F713" s="2784"/>
      <c r="G713" s="2603">
        <f>'Part VI-Pro Forma'!G6</f>
        <v>7500</v>
      </c>
      <c r="H713" s="2814" t="s">
        <v>1768</v>
      </c>
      <c r="K713" s="2842">
        <f>'Part VI-Pro Forma'!K6</f>
        <v>-1.2982063698304716E-2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5.9999636529911519E-2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609024</v>
      </c>
      <c r="C722" s="2606">
        <f>'Part VI-Pro Forma'!C15</f>
        <v>621204.47999999998</v>
      </c>
      <c r="D722" s="2606">
        <f>'Part VI-Pro Forma'!D15</f>
        <v>633628.56960000005</v>
      </c>
      <c r="E722" s="2606">
        <f>'Part VI-Pro Forma'!E15</f>
        <v>646301.140992</v>
      </c>
      <c r="F722" s="2606">
        <f>'Part VI-Pro Forma'!F15</f>
        <v>659227.16381184</v>
      </c>
      <c r="G722" s="2606">
        <f>'Part VI-Pro Forma'!G15</f>
        <v>672411.70708807686</v>
      </c>
      <c r="H722" s="2606">
        <f>'Part VI-Pro Forma'!H15</f>
        <v>685859.94122983841</v>
      </c>
      <c r="I722" s="2606">
        <f>'Part VI-Pro Forma'!I15</f>
        <v>699577.140054435</v>
      </c>
      <c r="J722" s="2606">
        <f>'Part VI-Pro Forma'!J15</f>
        <v>713568.68285552377</v>
      </c>
      <c r="K722" s="2606">
        <f>'Part VI-Pro Forma'!K15</f>
        <v>727840.05651263427</v>
      </c>
    </row>
    <row r="723" spans="1:11">
      <c r="A723" s="357" t="s">
        <v>952</v>
      </c>
      <c r="B723" s="2606">
        <f>'Part VI-Pro Forma'!B16</f>
        <v>12180.48</v>
      </c>
      <c r="C723" s="2606">
        <f>'Part VI-Pro Forma'!C16</f>
        <v>12424.089599999999</v>
      </c>
      <c r="D723" s="2606">
        <f>'Part VI-Pro Forma'!D16</f>
        <v>12672.571392</v>
      </c>
      <c r="E723" s="2606">
        <f>'Part VI-Pro Forma'!E16</f>
        <v>12926.022819839998</v>
      </c>
      <c r="F723" s="2606">
        <f>'Part VI-Pro Forma'!F16</f>
        <v>13184.5432762368</v>
      </c>
      <c r="G723" s="2606">
        <f>'Part VI-Pro Forma'!G16</f>
        <v>13448.234141761535</v>
      </c>
      <c r="H723" s="2606">
        <f>'Part VI-Pro Forma'!H16</f>
        <v>13717.198824596768</v>
      </c>
      <c r="I723" s="2606">
        <f>'Part VI-Pro Forma'!I16</f>
        <v>13991.542801088699</v>
      </c>
      <c r="J723" s="2606">
        <f>'Part VI-Pro Forma'!J16</f>
        <v>14271.373657110475</v>
      </c>
      <c r="K723" s="2606">
        <f>'Part VI-Pro Forma'!K16</f>
        <v>14556.801130252685</v>
      </c>
    </row>
    <row r="724" spans="1:11">
      <c r="A724" s="357" t="s">
        <v>2216</v>
      </c>
      <c r="B724" s="2606">
        <f>'Part VI-Pro Forma'!B17</f>
        <v>-43484.313600000001</v>
      </c>
      <c r="C724" s="2606">
        <f>'Part VI-Pro Forma'!C17</f>
        <v>-44353.999872</v>
      </c>
      <c r="D724" s="2606">
        <f>'Part VI-Pro Forma'!D17</f>
        <v>-45241.079869440007</v>
      </c>
      <c r="E724" s="2606">
        <f>'Part VI-Pro Forma'!E17</f>
        <v>-46145.901466828807</v>
      </c>
      <c r="F724" s="2606">
        <f>'Part VI-Pro Forma'!F17</f>
        <v>-47068.819496165379</v>
      </c>
      <c r="G724" s="2606">
        <f>'Part VI-Pro Forma'!G17</f>
        <v>-48010.195886088695</v>
      </c>
      <c r="H724" s="2606">
        <f>'Part VI-Pro Forma'!H17</f>
        <v>-48970.399803810469</v>
      </c>
      <c r="I724" s="2606">
        <f>'Part VI-Pro Forma'!I17</f>
        <v>-49949.807799886657</v>
      </c>
      <c r="J724" s="2606">
        <f>'Part VI-Pro Forma'!J17</f>
        <v>-50948.803955884403</v>
      </c>
      <c r="K724" s="2606">
        <f>'Part VI-Pro Forma'!K17</f>
        <v>-51967.780035002092</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577720.16639999999</v>
      </c>
      <c r="C727" s="2606">
        <f>'Part VI-Pro Forma'!C20</f>
        <v>589274.56972799997</v>
      </c>
      <c r="D727" s="2606">
        <f>'Part VI-Pro Forma'!D20</f>
        <v>601060.06112255994</v>
      </c>
      <c r="E727" s="2606">
        <f>'Part VI-Pro Forma'!E20</f>
        <v>613081.26234501123</v>
      </c>
      <c r="F727" s="2606">
        <f>'Part VI-Pro Forma'!F20</f>
        <v>625342.88759191136</v>
      </c>
      <c r="G727" s="2606">
        <f>'Part VI-Pro Forma'!G20</f>
        <v>637849.74534374976</v>
      </c>
      <c r="H727" s="2606">
        <f>'Part VI-Pro Forma'!H20</f>
        <v>650606.74025062472</v>
      </c>
      <c r="I727" s="2606">
        <f>'Part VI-Pro Forma'!I20</f>
        <v>663618.87505563698</v>
      </c>
      <c r="J727" s="2606">
        <f>'Part VI-Pro Forma'!J20</f>
        <v>676891.25255674985</v>
      </c>
      <c r="K727" s="2606">
        <f>'Part VI-Pro Forma'!K20</f>
        <v>690429.07760788489</v>
      </c>
    </row>
    <row r="728" spans="1:11">
      <c r="A728" s="357" t="s">
        <v>572</v>
      </c>
      <c r="B728" s="2606">
        <f>'Part VI-Pro Forma'!B21</f>
        <v>-305982</v>
      </c>
      <c r="C728" s="2606">
        <f>'Part VI-Pro Forma'!C21</f>
        <v>-315161.46000000002</v>
      </c>
      <c r="D728" s="2606">
        <f>'Part VI-Pro Forma'!D21</f>
        <v>-324616.30379999999</v>
      </c>
      <c r="E728" s="2606">
        <f>'Part VI-Pro Forma'!E21</f>
        <v>-334354.79291399999</v>
      </c>
      <c r="F728" s="2606">
        <f>'Part VI-Pro Forma'!F21</f>
        <v>-344385.43670142</v>
      </c>
      <c r="G728" s="2606">
        <f>'Part VI-Pro Forma'!G21</f>
        <v>-354716.99980246252</v>
      </c>
      <c r="H728" s="2606">
        <f>'Part VI-Pro Forma'!H21</f>
        <v>-365358.50979653647</v>
      </c>
      <c r="I728" s="2606">
        <f>'Part VI-Pro Forma'!I21</f>
        <v>-376319.26509043254</v>
      </c>
      <c r="J728" s="2606">
        <f>'Part VI-Pro Forma'!J21</f>
        <v>-387608.84304314549</v>
      </c>
      <c r="K728" s="2606">
        <f>'Part VI-Pro Forma'!K21</f>
        <v>-399237.10833443986</v>
      </c>
    </row>
    <row r="729" spans="1:11">
      <c r="A729" s="357" t="s">
        <v>1050</v>
      </c>
      <c r="B729" s="2606">
        <f>'Part VI-Pro Forma'!B22</f>
        <v>-34663</v>
      </c>
      <c r="C729" s="2606">
        <f>'Part VI-Pro Forma'!C22</f>
        <v>-35356</v>
      </c>
      <c r="D729" s="2606">
        <f>'Part VI-Pro Forma'!D22</f>
        <v>-36064</v>
      </c>
      <c r="E729" s="2606">
        <f>'Part VI-Pro Forma'!E22</f>
        <v>-36785</v>
      </c>
      <c r="F729" s="2606">
        <f>'Part VI-Pro Forma'!F22</f>
        <v>-37521</v>
      </c>
      <c r="G729" s="2606">
        <f>'Part VI-Pro Forma'!G22</f>
        <v>-38271</v>
      </c>
      <c r="H729" s="2606">
        <f>'Part VI-Pro Forma'!H22</f>
        <v>-39036</v>
      </c>
      <c r="I729" s="2606">
        <f>'Part VI-Pro Forma'!I22</f>
        <v>-39817</v>
      </c>
      <c r="J729" s="2606">
        <f>'Part VI-Pro Forma'!J22</f>
        <v>-40613</v>
      </c>
      <c r="K729" s="2606">
        <f>'Part VI-Pro Forma'!K22</f>
        <v>-41426</v>
      </c>
    </row>
    <row r="730" spans="1:11">
      <c r="A730" s="357" t="s">
        <v>1128</v>
      </c>
      <c r="B730" s="2606">
        <f>'Part VI-Pro Forma'!B23</f>
        <v>-11750</v>
      </c>
      <c r="C730" s="2606">
        <f>'Part VI-Pro Forma'!C23</f>
        <v>-12102.5</v>
      </c>
      <c r="D730" s="2606">
        <f>'Part VI-Pro Forma'!D23</f>
        <v>-12465.574999999999</v>
      </c>
      <c r="E730" s="2606">
        <f>'Part VI-Pro Forma'!E23</f>
        <v>-12839.54225</v>
      </c>
      <c r="F730" s="2606">
        <f>'Part VI-Pro Forma'!F23</f>
        <v>-13224.7285175</v>
      </c>
      <c r="G730" s="2606">
        <f>'Part VI-Pro Forma'!G23</f>
        <v>-13621.470373024998</v>
      </c>
      <c r="H730" s="2606">
        <f>'Part VI-Pro Forma'!H23</f>
        <v>-14030.114484215748</v>
      </c>
      <c r="I730" s="2606">
        <f>'Part VI-Pro Forma'!I23</f>
        <v>-14451.017918742222</v>
      </c>
      <c r="J730" s="2606">
        <f>'Part VI-Pro Forma'!J23</f>
        <v>-14884.548456304487</v>
      </c>
      <c r="K730" s="2606">
        <f>'Part VI-Pro Forma'!K23</f>
        <v>-15331.084909993622</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225325.16639999999</v>
      </c>
      <c r="C732" s="2606">
        <f t="shared" ref="C732:J732" si="377">SUM(C727:C731)</f>
        <v>226654.60972799995</v>
      </c>
      <c r="D732" s="2606">
        <f t="shared" si="377"/>
        <v>227914.18232255994</v>
      </c>
      <c r="E732" s="2606">
        <f t="shared" si="377"/>
        <v>229101.92718101124</v>
      </c>
      <c r="F732" s="2606">
        <f t="shared" si="377"/>
        <v>230211.72237299138</v>
      </c>
      <c r="G732" s="2606">
        <f t="shared" si="377"/>
        <v>231240.27516826225</v>
      </c>
      <c r="H732" s="2606">
        <f t="shared" si="377"/>
        <v>232182.11596987251</v>
      </c>
      <c r="I732" s="2606">
        <f t="shared" si="377"/>
        <v>233031.5920464622</v>
      </c>
      <c r="J732" s="2606">
        <f t="shared" si="377"/>
        <v>233784.86105729989</v>
      </c>
      <c r="K732" s="2606">
        <f>SUM(K727:K731)</f>
        <v>234434.88436345139</v>
      </c>
    </row>
    <row r="733" spans="1:11">
      <c r="A733" s="357" t="s">
        <v>1486</v>
      </c>
      <c r="B733" s="2606">
        <f>'Part VI-Pro Forma'!B26</f>
        <v>-187581.61721366894</v>
      </c>
      <c r="C733" s="2606">
        <f>'Part VI-Pro Forma'!C26</f>
        <v>-187581.61721366894</v>
      </c>
      <c r="D733" s="2606">
        <f>'Part VI-Pro Forma'!D26</f>
        <v>-187581.61721366894</v>
      </c>
      <c r="E733" s="2606">
        <f>'Part VI-Pro Forma'!E26</f>
        <v>-187581.61721366894</v>
      </c>
      <c r="F733" s="2606">
        <f>'Part VI-Pro Forma'!F26</f>
        <v>-187581.61721366894</v>
      </c>
      <c r="G733" s="2606">
        <f>'Part VI-Pro Forma'!G26</f>
        <v>-187581.61721366894</v>
      </c>
      <c r="H733" s="2606">
        <f>'Part VI-Pro Forma'!H26</f>
        <v>-187581.61721366894</v>
      </c>
      <c r="I733" s="2606">
        <f>'Part VI-Pro Forma'!I26</f>
        <v>-187581.61721366894</v>
      </c>
      <c r="J733" s="2606">
        <f>'Part VI-Pro Forma'!J26</f>
        <v>-187581.61721366894</v>
      </c>
      <c r="K733" s="2606">
        <f>'Part VI-Pro Forma'!K26</f>
        <v>-187581.61721366894</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3361</v>
      </c>
      <c r="B739" s="2606">
        <f>'Part VI-Pro Forma'!B32</f>
        <v>-29631.066666666666</v>
      </c>
      <c r="C739" s="2606">
        <f>'Part VI-Pro Forma'!C32</f>
        <v>-29631.066666666666</v>
      </c>
      <c r="D739" s="2606">
        <f>'Part VI-Pro Forma'!D32</f>
        <v>-29631.066666666666</v>
      </c>
      <c r="E739" s="2606">
        <f>'Part VI-Pro Forma'!E32</f>
        <v>-29631.066666666666</v>
      </c>
      <c r="F739" s="2606">
        <f>'Part VI-Pro Forma'!F32</f>
        <v>-29631.066666666666</v>
      </c>
      <c r="G739" s="2606">
        <f>'Part VI-Pro Forma'!G32</f>
        <v>-29631.066666666666</v>
      </c>
      <c r="H739" s="2606">
        <f>'Part VI-Pro Forma'!H32</f>
        <v>-29631.066666666666</v>
      </c>
      <c r="I739" s="2606">
        <f>'Part VI-Pro Forma'!I32</f>
        <v>-29631.066666666666</v>
      </c>
      <c r="J739" s="2606">
        <f>'Part VI-Pro Forma'!J32</f>
        <v>-29631.066666666666</v>
      </c>
      <c r="K739" s="2606">
        <f>'Part VI-Pro Forma'!K32</f>
        <v>-29631.066666666666</v>
      </c>
    </row>
    <row r="740" spans="1:11">
      <c r="A740" s="357" t="s">
        <v>1096</v>
      </c>
      <c r="B740" s="2606">
        <f t="shared" ref="B740:K740" si="378">SUM(B732:B739)</f>
        <v>612.48251966437965</v>
      </c>
      <c r="C740" s="2606">
        <f t="shared" si="378"/>
        <v>1941.9258476643445</v>
      </c>
      <c r="D740" s="2606">
        <f t="shared" si="378"/>
        <v>3201.4984422243288</v>
      </c>
      <c r="E740" s="2606">
        <f t="shared" si="378"/>
        <v>4389.2433006756328</v>
      </c>
      <c r="F740" s="2606">
        <f t="shared" si="378"/>
        <v>5499.0384926557745</v>
      </c>
      <c r="G740" s="2606">
        <f t="shared" si="378"/>
        <v>6527.5912879266398</v>
      </c>
      <c r="H740" s="2606">
        <f t="shared" si="378"/>
        <v>7469.4320895369019</v>
      </c>
      <c r="I740" s="2606">
        <f t="shared" si="378"/>
        <v>8318.9081661265955</v>
      </c>
      <c r="J740" s="2606">
        <f t="shared" si="378"/>
        <v>9072.1771769642801</v>
      </c>
      <c r="K740" s="2606">
        <f t="shared" si="378"/>
        <v>9722.2004831157828</v>
      </c>
    </row>
    <row r="741" spans="1:11">
      <c r="A741" s="357" t="str">
        <f>IF('Part II-Sources of Funds'!$E$40 = "Neither", "", "DCR Mortgage A")</f>
        <v>DCR Mortgage A</v>
      </c>
      <c r="B741" s="2607">
        <f t="shared" ref="B741:K741" si="379">IF(B733=0,"",-B732/B733)</f>
        <v>1.2012113433446863</v>
      </c>
      <c r="C741" s="2607">
        <f t="shared" si="379"/>
        <v>1.2082986227260428</v>
      </c>
      <c r="D741" s="2607">
        <f t="shared" si="379"/>
        <v>1.2150134203339835</v>
      </c>
      <c r="E741" s="2607">
        <f t="shared" si="379"/>
        <v>1.2213453033622568</v>
      </c>
      <c r="F741" s="2607">
        <f t="shared" si="379"/>
        <v>1.2272616357218185</v>
      </c>
      <c r="G741" s="2607">
        <f t="shared" si="379"/>
        <v>1.2327448638256646</v>
      </c>
      <c r="H741" s="2607">
        <f t="shared" si="379"/>
        <v>1.2377658291825067</v>
      </c>
      <c r="I741" s="2607">
        <f t="shared" si="379"/>
        <v>1.2422943970091829</v>
      </c>
      <c r="J741" s="2607">
        <f t="shared" si="379"/>
        <v>1.2463100837381209</v>
      </c>
      <c r="K741" s="2607">
        <f t="shared" si="379"/>
        <v>1.249775366295159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1.2012113433446863</v>
      </c>
      <c r="C745" s="2607">
        <f t="shared" si="383"/>
        <v>1.2082986227260428</v>
      </c>
      <c r="D745" s="2607">
        <f t="shared" si="383"/>
        <v>1.2150134203339835</v>
      </c>
      <c r="E745" s="2607">
        <f t="shared" si="383"/>
        <v>1.2213453033622568</v>
      </c>
      <c r="F745" s="2607">
        <f t="shared" si="383"/>
        <v>1.2272616357218185</v>
      </c>
      <c r="G745" s="2607">
        <f t="shared" si="383"/>
        <v>1.2327448638256646</v>
      </c>
      <c r="H745" s="2607">
        <f t="shared" si="383"/>
        <v>1.2377658291825067</v>
      </c>
      <c r="I745" s="2607">
        <f t="shared" si="383"/>
        <v>1.2422943970091829</v>
      </c>
      <c r="J745" s="2607">
        <f t="shared" si="383"/>
        <v>1.2463100837381209</v>
      </c>
      <c r="K745" s="2607">
        <f t="shared" si="383"/>
        <v>1.249775366295159</v>
      </c>
    </row>
    <row r="746" spans="1:11">
      <c r="A746" s="357" t="s">
        <v>718</v>
      </c>
      <c r="B746" s="2608">
        <f t="shared" ref="B746:K746" si="384">IF(OR(B729="Choose mgt fee",B729="Choose One!"),"",(B722+B723+B724+B725+B726) / -(B728+B729+B730))</f>
        <v>1.6394107930021709</v>
      </c>
      <c r="C746" s="2608">
        <f t="shared" si="384"/>
        <v>1.6250472525781536</v>
      </c>
      <c r="D746" s="2608">
        <f t="shared" si="384"/>
        <v>1.610791101473529</v>
      </c>
      <c r="E746" s="2608">
        <f t="shared" si="384"/>
        <v>1.5966517106530234</v>
      </c>
      <c r="F746" s="2608">
        <f t="shared" si="384"/>
        <v>1.5826210196440567</v>
      </c>
      <c r="G746" s="2608">
        <f t="shared" si="384"/>
        <v>1.5687036139823842</v>
      </c>
      <c r="H746" s="2608">
        <f t="shared" si="384"/>
        <v>1.5548959179182635</v>
      </c>
      <c r="I746" s="2608">
        <f t="shared" si="384"/>
        <v>1.5411947849874073</v>
      </c>
      <c r="J746" s="2608">
        <f t="shared" si="384"/>
        <v>1.527604353135561</v>
      </c>
      <c r="K746" s="2608">
        <f t="shared" si="384"/>
        <v>1.5141181353548152</v>
      </c>
    </row>
    <row r="747" spans="1:11">
      <c r="A747" s="357" t="s">
        <v>2405</v>
      </c>
      <c r="B747" s="2606">
        <f>'Part VI-Pro Forma'!B40</f>
        <v>2635892.0887586484</v>
      </c>
      <c r="C747" s="2606">
        <f>'Part VI-Pro Forma'!C40</f>
        <v>2620830.0595279713</v>
      </c>
      <c r="D747" s="2606">
        <f>'Part VI-Pro Forma'!D40</f>
        <v>2604749.3853115924</v>
      </c>
      <c r="E747" s="2606">
        <f>'Part VI-Pro Forma'!E40</f>
        <v>2587581.1751525891</v>
      </c>
      <c r="F747" s="2606">
        <f>'Part VI-Pro Forma'!F40</f>
        <v>2569251.8789988561</v>
      </c>
      <c r="G747" s="2606">
        <f>'Part VI-Pro Forma'!G40</f>
        <v>2549682.9726085146</v>
      </c>
      <c r="H747" s="2606">
        <f>'Part VI-Pro Forma'!H40</f>
        <v>2528790.6211454738</v>
      </c>
      <c r="I747" s="2606">
        <f>'Part VI-Pro Forma'!I40</f>
        <v>2506485.3200239628</v>
      </c>
      <c r="J747" s="2606">
        <f>'Part VI-Pro Forma'!J40</f>
        <v>2482671.5114633795</v>
      </c>
      <c r="K747" s="2606">
        <f>'Part VI-Pro Forma'!K40</f>
        <v>2457247.1751107443</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414834.93333333335</v>
      </c>
      <c r="C751" s="2606">
        <f>'Part VI-Pro Forma'!C44</f>
        <v>385203.8666666667</v>
      </c>
      <c r="D751" s="2606">
        <f>'Part VI-Pro Forma'!D44</f>
        <v>355572.80000000005</v>
      </c>
      <c r="E751" s="2606">
        <f>'Part VI-Pro Forma'!E44</f>
        <v>325941.7333333334</v>
      </c>
      <c r="F751" s="2606">
        <f>'Part VI-Pro Forma'!F44</f>
        <v>296310.66666666674</v>
      </c>
      <c r="G751" s="2606">
        <f>'Part VI-Pro Forma'!G44</f>
        <v>266679.60000000009</v>
      </c>
      <c r="H751" s="2606">
        <f>'Part VI-Pro Forma'!H44</f>
        <v>237048.53333333344</v>
      </c>
      <c r="I751" s="2606">
        <f>'Part VI-Pro Forma'!I44</f>
        <v>207417.46666666679</v>
      </c>
      <c r="J751" s="2606">
        <f>'Part VI-Pro Forma'!J44</f>
        <v>177786.40000000014</v>
      </c>
      <c r="K751" s="2606">
        <f>'Part VI-Pro Forma'!K44</f>
        <v>148155.33333333349</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742396.85764288693</v>
      </c>
      <c r="C754" s="2606">
        <f>'Part VI-Pro Forma'!C47</f>
        <v>757244.79479574459</v>
      </c>
      <c r="D754" s="2606">
        <f>'Part VI-Pro Forma'!D47</f>
        <v>772389.69069165958</v>
      </c>
      <c r="E754" s="2606">
        <f>'Part VI-Pro Forma'!E47</f>
        <v>787837.48450549273</v>
      </c>
      <c r="F754" s="2606">
        <f>'Part VI-Pro Forma'!F47</f>
        <v>803594.23419560259</v>
      </c>
      <c r="G754" s="2606">
        <f>'Part VI-Pro Forma'!G47</f>
        <v>819666.11887951451</v>
      </c>
      <c r="H754" s="2606">
        <f>'Part VI-Pro Forma'!H47</f>
        <v>836059.44125710486</v>
      </c>
      <c r="I754" s="2606">
        <f>'Part VI-Pro Forma'!I47</f>
        <v>852780.63008224708</v>
      </c>
      <c r="J754" s="2606">
        <f>'Part VI-Pro Forma'!J47</f>
        <v>869836.24268389191</v>
      </c>
      <c r="K754" s="2606">
        <f>'Part VI-Pro Forma'!K47</f>
        <v>887232.9675375697</v>
      </c>
    </row>
    <row r="755" spans="1:11">
      <c r="A755" s="357" t="s">
        <v>952</v>
      </c>
      <c r="B755" s="2606">
        <f>'Part VI-Pro Forma'!B48</f>
        <v>14847.937152857738</v>
      </c>
      <c r="C755" s="2606">
        <f>'Part VI-Pro Forma'!C48</f>
        <v>15144.895895914891</v>
      </c>
      <c r="D755" s="2606">
        <f>'Part VI-Pro Forma'!D48</f>
        <v>15447.79381383319</v>
      </c>
      <c r="E755" s="2606">
        <f>'Part VI-Pro Forma'!E48</f>
        <v>15756.749690109853</v>
      </c>
      <c r="F755" s="2606">
        <f>'Part VI-Pro Forma'!F48</f>
        <v>16071.884683912052</v>
      </c>
      <c r="G755" s="2606">
        <f>'Part VI-Pro Forma'!G48</f>
        <v>16393.322377590288</v>
      </c>
      <c r="H755" s="2606">
        <f>'Part VI-Pro Forma'!H48</f>
        <v>16721.188825142097</v>
      </c>
      <c r="I755" s="2606">
        <f>'Part VI-Pro Forma'!I48</f>
        <v>17055.612601644942</v>
      </c>
      <c r="J755" s="2606">
        <f>'Part VI-Pro Forma'!J48</f>
        <v>17396.724853677839</v>
      </c>
      <c r="K755" s="2606">
        <f>'Part VI-Pro Forma'!K48</f>
        <v>17744.659350751394</v>
      </c>
    </row>
    <row r="756" spans="1:11">
      <c r="A756" s="357" t="s">
        <v>2216</v>
      </c>
      <c r="B756" s="2606">
        <f>'Part VI-Pro Forma'!B49</f>
        <v>-53007.135635702136</v>
      </c>
      <c r="C756" s="2606">
        <f>'Part VI-Pro Forma'!C49</f>
        <v>-54067.27834841617</v>
      </c>
      <c r="D756" s="2606">
        <f>'Part VI-Pro Forma'!D49</f>
        <v>-55148.623915384494</v>
      </c>
      <c r="E756" s="2606">
        <f>'Part VI-Pro Forma'!E49</f>
        <v>-56251.596393692183</v>
      </c>
      <c r="F756" s="2606">
        <f>'Part VI-Pro Forma'!F49</f>
        <v>-57376.62832156603</v>
      </c>
      <c r="G756" s="2606">
        <f>'Part VI-Pro Forma'!G49</f>
        <v>-58524.160887997336</v>
      </c>
      <c r="H756" s="2606">
        <f>'Part VI-Pro Forma'!H49</f>
        <v>-59694.644105757296</v>
      </c>
      <c r="I756" s="2606">
        <f>'Part VI-Pro Forma'!I49</f>
        <v>-60888.536987872445</v>
      </c>
      <c r="J756" s="2606">
        <f>'Part VI-Pro Forma'!J49</f>
        <v>-62106.307727629886</v>
      </c>
      <c r="K756" s="2606">
        <f>'Part VI-Pro Forma'!K49</f>
        <v>-63348.433882182486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704237.65916004253</v>
      </c>
      <c r="C759" s="2606">
        <f>'Part VI-Pro Forma'!C52</f>
        <v>718322.41234324325</v>
      </c>
      <c r="D759" s="2606">
        <f>'Part VI-Pro Forma'!D52</f>
        <v>732688.8605901082</v>
      </c>
      <c r="E759" s="2606">
        <f>'Part VI-Pro Forma'!E52</f>
        <v>747342.6378019104</v>
      </c>
      <c r="F759" s="2606">
        <f>'Part VI-Pro Forma'!F52</f>
        <v>762289.49055794859</v>
      </c>
      <c r="G759" s="2606">
        <f>'Part VI-Pro Forma'!G52</f>
        <v>777535.28036910738</v>
      </c>
      <c r="H759" s="2606">
        <f>'Part VI-Pro Forma'!H52</f>
        <v>793085.98597648973</v>
      </c>
      <c r="I759" s="2606">
        <f>'Part VI-Pro Forma'!I52</f>
        <v>808947.70569601958</v>
      </c>
      <c r="J759" s="2606">
        <f>'Part VI-Pro Forma'!J52</f>
        <v>825126.6598099398</v>
      </c>
      <c r="K759" s="2606">
        <f>'Part VI-Pro Forma'!K52</f>
        <v>841629.19300613867</v>
      </c>
    </row>
    <row r="760" spans="1:11">
      <c r="A760" s="357" t="s">
        <v>572</v>
      </c>
      <c r="B760" s="2606">
        <f>'Part VI-Pro Forma'!B53</f>
        <v>-411214.2215844731</v>
      </c>
      <c r="C760" s="2606">
        <f>'Part VI-Pro Forma'!C53</f>
        <v>-423550.64823200728</v>
      </c>
      <c r="D760" s="2606">
        <f>'Part VI-Pro Forma'!D53</f>
        <v>-436257.16767896741</v>
      </c>
      <c r="E760" s="2606">
        <f>'Part VI-Pro Forma'!E53</f>
        <v>-449344.88270933641</v>
      </c>
      <c r="F760" s="2606">
        <f>'Part VI-Pro Forma'!F53</f>
        <v>-462825.22919061658</v>
      </c>
      <c r="G760" s="2606">
        <f>'Part VI-Pro Forma'!G53</f>
        <v>-476709.98606633511</v>
      </c>
      <c r="H760" s="2606">
        <f>'Part VI-Pro Forma'!H53</f>
        <v>-491011.28564832505</v>
      </c>
      <c r="I760" s="2606">
        <f>'Part VI-Pro Forma'!I53</f>
        <v>-505741.62421777484</v>
      </c>
      <c r="J760" s="2606">
        <f>'Part VI-Pro Forma'!J53</f>
        <v>-520913.8729443081</v>
      </c>
      <c r="K760" s="2606">
        <f>'Part VI-Pro Forma'!K53</f>
        <v>-536541.28913263732</v>
      </c>
    </row>
    <row r="761" spans="1:11">
      <c r="A761" s="357" t="s">
        <v>1050</v>
      </c>
      <c r="B761" s="2606">
        <f>'Part VI-Pro Forma'!B54</f>
        <v>-42254</v>
      </c>
      <c r="C761" s="2606">
        <f>'Part VI-Pro Forma'!C54</f>
        <v>-43099</v>
      </c>
      <c r="D761" s="2606">
        <f>'Part VI-Pro Forma'!D54</f>
        <v>-43961</v>
      </c>
      <c r="E761" s="2606">
        <f>'Part VI-Pro Forma'!E54</f>
        <v>-44841</v>
      </c>
      <c r="F761" s="2606">
        <f>'Part VI-Pro Forma'!F54</f>
        <v>-45737</v>
      </c>
      <c r="G761" s="2606">
        <f>'Part VI-Pro Forma'!G54</f>
        <v>-46652</v>
      </c>
      <c r="H761" s="2606">
        <f>'Part VI-Pro Forma'!H54</f>
        <v>-47585</v>
      </c>
      <c r="I761" s="2606">
        <f>'Part VI-Pro Forma'!I54</f>
        <v>-48537</v>
      </c>
      <c r="J761" s="2606">
        <f>'Part VI-Pro Forma'!J54</f>
        <v>-49508</v>
      </c>
      <c r="K761" s="2606">
        <f>'Part VI-Pro Forma'!K54</f>
        <v>-50498</v>
      </c>
    </row>
    <row r="762" spans="1:11">
      <c r="A762" s="357" t="s">
        <v>1128</v>
      </c>
      <c r="B762" s="2606">
        <f>'Part VI-Pro Forma'!B55</f>
        <v>-15791.01745729343</v>
      </c>
      <c r="C762" s="2606">
        <f>'Part VI-Pro Forma'!C55</f>
        <v>-16264.747981012235</v>
      </c>
      <c r="D762" s="2606">
        <f>'Part VI-Pro Forma'!D55</f>
        <v>-16752.690420442599</v>
      </c>
      <c r="E762" s="2606">
        <f>'Part VI-Pro Forma'!E55</f>
        <v>-17255.271133055878</v>
      </c>
      <c r="F762" s="2606">
        <f>'Part VI-Pro Forma'!F55</f>
        <v>-17772.929267047555</v>
      </c>
      <c r="G762" s="2606">
        <f>'Part VI-Pro Forma'!G55</f>
        <v>-18306.117145058983</v>
      </c>
      <c r="H762" s="2606">
        <f>'Part VI-Pro Forma'!H55</f>
        <v>-18855.300659410746</v>
      </c>
      <c r="I762" s="2606">
        <f>'Part VI-Pro Forma'!I55</f>
        <v>-19420.959679193071</v>
      </c>
      <c r="J762" s="2606">
        <f>'Part VI-Pro Forma'!J55</f>
        <v>-20003.588469568862</v>
      </c>
      <c r="K762" s="2606">
        <f>'Part VI-Pro Forma'!K55</f>
        <v>-20603.696123655929</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234978.420118276</v>
      </c>
      <c r="C764" s="2606">
        <f t="shared" si="386"/>
        <v>235408.01613022372</v>
      </c>
      <c r="D764" s="2606">
        <f t="shared" si="386"/>
        <v>235718.00249069819</v>
      </c>
      <c r="E764" s="2606">
        <f t="shared" si="386"/>
        <v>235901.48395951811</v>
      </c>
      <c r="F764" s="2606">
        <f t="shared" si="386"/>
        <v>235954.33210028446</v>
      </c>
      <c r="G764" s="2606">
        <f t="shared" si="386"/>
        <v>235867.17715771327</v>
      </c>
      <c r="H764" s="2606">
        <f t="shared" si="386"/>
        <v>235634.39966875393</v>
      </c>
      <c r="I764" s="2606">
        <f t="shared" si="386"/>
        <v>235248.12179905167</v>
      </c>
      <c r="J764" s="2606">
        <f t="shared" si="386"/>
        <v>234701.19839606283</v>
      </c>
      <c r="K764" s="2606">
        <f t="shared" si="386"/>
        <v>233986.2077498454</v>
      </c>
    </row>
    <row r="765" spans="1:11">
      <c r="A765" s="357" t="str">
        <f>$A733</f>
        <v>Mortgage A</v>
      </c>
      <c r="B765" s="2606">
        <f>'Part VI-Pro Forma'!B58</f>
        <v>-187581.61721366894</v>
      </c>
      <c r="C765" s="2606">
        <f>'Part VI-Pro Forma'!C58</f>
        <v>-187581.61721366894</v>
      </c>
      <c r="D765" s="2606">
        <f>'Part VI-Pro Forma'!D58</f>
        <v>-187581.61721366894</v>
      </c>
      <c r="E765" s="2606">
        <f>'Part VI-Pro Forma'!E58</f>
        <v>-187581.61721366894</v>
      </c>
      <c r="F765" s="2606">
        <f>'Part VI-Pro Forma'!F58</f>
        <v>-187581.61721366894</v>
      </c>
      <c r="G765" s="2606">
        <f>'Part VI-Pro Forma'!G58</f>
        <v>-187581.61721366894</v>
      </c>
      <c r="H765" s="2606">
        <f>'Part VI-Pro Forma'!H58</f>
        <v>-187581.61721366894</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3361</v>
      </c>
      <c r="B771" s="2606">
        <f>'Part VI-Pro Forma'!B64</f>
        <v>-29631.066666666666</v>
      </c>
      <c r="C771" s="2606">
        <f>'Part VI-Pro Forma'!C64</f>
        <v>-29631.066666666666</v>
      </c>
      <c r="D771" s="2606">
        <f>'Part VI-Pro Forma'!D64</f>
        <v>-29631.066666666666</v>
      </c>
      <c r="E771" s="2606">
        <f>'Part VI-Pro Forma'!E64</f>
        <v>-29631.066666666666</v>
      </c>
      <c r="F771" s="2606">
        <f>'Part VI-Pro Forma'!F64</f>
        <v>-29631.066666666666</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10265.736237940393</v>
      </c>
      <c r="C772" s="2606">
        <f t="shared" si="387"/>
        <v>10695.332249888117</v>
      </c>
      <c r="D772" s="2606">
        <f t="shared" si="387"/>
        <v>11005.318610362578</v>
      </c>
      <c r="E772" s="2606">
        <f t="shared" si="387"/>
        <v>11188.800079182503</v>
      </c>
      <c r="F772" s="2606">
        <f t="shared" si="387"/>
        <v>11241.648219948853</v>
      </c>
      <c r="G772" s="2606">
        <f t="shared" si="387"/>
        <v>40785.559944044333</v>
      </c>
      <c r="H772" s="2606">
        <f t="shared" si="387"/>
        <v>40552.782455084991</v>
      </c>
      <c r="I772" s="2606">
        <f t="shared" si="387"/>
        <v>227748.12179905167</v>
      </c>
      <c r="J772" s="2606">
        <f t="shared" si="387"/>
        <v>227201.19839606283</v>
      </c>
      <c r="K772" s="2606">
        <f t="shared" si="387"/>
        <v>226486.2077498454</v>
      </c>
    </row>
    <row r="773" spans="1:11">
      <c r="A773" s="357" t="str">
        <f>$A741</f>
        <v>DCR Mortgage A</v>
      </c>
      <c r="B773" s="2607">
        <f t="shared" ref="B773:K773" si="388">IF(B765=0,"",-B764/B765)</f>
        <v>1.2526729623544011</v>
      </c>
      <c r="C773" s="2607">
        <f t="shared" si="388"/>
        <v>1.2549631441874023</v>
      </c>
      <c r="D773" s="2607">
        <f t="shared" si="388"/>
        <v>1.2566156854389332</v>
      </c>
      <c r="E773" s="2607">
        <f t="shared" si="388"/>
        <v>1.257593827495417</v>
      </c>
      <c r="F773" s="2607">
        <f t="shared" si="388"/>
        <v>1.2578755616096193</v>
      </c>
      <c r="G773" s="2607">
        <f t="shared" si="388"/>
        <v>1.2574109374963092</v>
      </c>
      <c r="H773" s="2607">
        <f t="shared" si="388"/>
        <v>1.2561699977261067</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1.2526729623544011</v>
      </c>
      <c r="C777" s="2607">
        <f t="shared" si="392"/>
        <v>1.2549631441874023</v>
      </c>
      <c r="D777" s="2607">
        <f t="shared" si="392"/>
        <v>1.2566156854389332</v>
      </c>
      <c r="E777" s="2607">
        <f t="shared" si="392"/>
        <v>1.257593827495417</v>
      </c>
      <c r="F777" s="2607">
        <f t="shared" si="392"/>
        <v>1.2578755616096193</v>
      </c>
      <c r="G777" s="2607">
        <f t="shared" si="392"/>
        <v>1.2574109374963092</v>
      </c>
      <c r="H777" s="2607">
        <f t="shared" si="392"/>
        <v>1.2561699977261067</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1.5007433004368864</v>
      </c>
      <c r="C778" s="2608">
        <f t="shared" si="393"/>
        <v>1.4874735936146795</v>
      </c>
      <c r="D778" s="2608">
        <f t="shared" si="393"/>
        <v>1.474309506581867</v>
      </c>
      <c r="E778" s="2608">
        <f t="shared" si="393"/>
        <v>1.4612485369767769</v>
      </c>
      <c r="F778" s="2608">
        <f t="shared" si="393"/>
        <v>1.4482967331912782</v>
      </c>
      <c r="G778" s="2608">
        <f t="shared" si="393"/>
        <v>1.43544594145257</v>
      </c>
      <c r="H778" s="2608">
        <f t="shared" si="393"/>
        <v>1.4226993078080044</v>
      </c>
      <c r="I778" s="2608">
        <f t="shared" si="393"/>
        <v>1.4100545449259039</v>
      </c>
      <c r="J778" s="2608">
        <f t="shared" si="393"/>
        <v>1.3975119870915285</v>
      </c>
      <c r="K778" s="2608">
        <f t="shared" si="393"/>
        <v>1.3850718488112788</v>
      </c>
    </row>
    <row r="779" spans="1:11">
      <c r="A779" s="357" t="s">
        <v>2405</v>
      </c>
      <c r="B779" s="2606">
        <f>'Part VI-Pro Forma'!B72</f>
        <v>2430103.3909769519</v>
      </c>
      <c r="C779" s="2606">
        <f>'Part VI-Pro Forma'!C72</f>
        <v>2401123.8728144038</v>
      </c>
      <c r="D779" s="2606">
        <f>'Part VI-Pro Forma'!D72</f>
        <v>2370184.469936972</v>
      </c>
      <c r="E779" s="2606">
        <f>'Part VI-Pro Forma'!E72</f>
        <v>2337152.6353480467</v>
      </c>
      <c r="F779" s="2606">
        <f>'Part VI-Pro Forma'!F72</f>
        <v>2301886.8578980877</v>
      </c>
      <c r="G779" s="2606">
        <f>'Part VI-Pro Forma'!G72</f>
        <v>2264236.0560389929</v>
      </c>
      <c r="H779" s="2606">
        <f>'Part VI-Pro Forma'!H72</f>
        <v>2224038.9305780749</v>
      </c>
      <c r="I779" s="2606">
        <f>'Part VI-Pro Forma'!I72</f>
        <v>2374450.6758975694</v>
      </c>
      <c r="J779" s="2606">
        <f>'Part VI-Pro Forma'!J72</f>
        <v>2535034.7670420432</v>
      </c>
      <c r="K779" s="2606">
        <f>'Part VI-Pro Forma'!K72</f>
        <v>2706479.1597250816</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118524.26666666682</v>
      </c>
      <c r="C783" s="2606">
        <f>'Part VI-Pro Forma'!C76</f>
        <v>88893.200000000157</v>
      </c>
      <c r="D783" s="2606">
        <f>'Part VI-Pro Forma'!D76</f>
        <v>59262.133333333491</v>
      </c>
      <c r="E783" s="2606">
        <f>'Part VI-Pro Forma'!E76</f>
        <v>29631.066666666826</v>
      </c>
      <c r="F783" s="2606">
        <f>'Part VI-Pro Forma'!F76</f>
        <v>1.6007106751203537E-10</v>
      </c>
      <c r="G783" s="2606">
        <f>'Part VI-Pro Forma'!G76</f>
        <v>1.6007106751203537E-10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904977.62688832125</v>
      </c>
      <c r="C786" s="2606">
        <f>'Part VI-Pro Forma'!C79</f>
        <v>923077.17942608753</v>
      </c>
      <c r="D786" s="2606">
        <f>'Part VI-Pro Forma'!D79</f>
        <v>941538.72301460942</v>
      </c>
      <c r="E786" s="2606">
        <f>'Part VI-Pro Forma'!E79</f>
        <v>960369.49747490138</v>
      </c>
      <c r="F786" s="2606">
        <f>'Part VI-Pro Forma'!F79</f>
        <v>979576.88742439949</v>
      </c>
      <c r="G786" s="2606">
        <f>'Part VI-Pro Forma'!G79</f>
        <v>999168.42517288739</v>
      </c>
      <c r="H786" s="2606">
        <f>'Part VI-Pro Forma'!H79</f>
        <v>1019151.7936763453</v>
      </c>
      <c r="I786" s="2606">
        <f>'Part VI-Pro Forma'!I79</f>
        <v>1039534.829549872</v>
      </c>
      <c r="J786" s="2606">
        <f>'Part VI-Pro Forma'!J79</f>
        <v>1060325.5261408696</v>
      </c>
      <c r="K786" s="2606">
        <f>'Part VI-Pro Forma'!K79</f>
        <v>1081532.0366636869</v>
      </c>
    </row>
    <row r="787" spans="1:11">
      <c r="A787" s="357" t="s">
        <v>952</v>
      </c>
      <c r="B787" s="2606">
        <f>'Part VI-Pro Forma'!B80</f>
        <v>18099.552537766423</v>
      </c>
      <c r="C787" s="2606">
        <f>'Part VI-Pro Forma'!C80</f>
        <v>18461.543588521752</v>
      </c>
      <c r="D787" s="2606">
        <f>'Part VI-Pro Forma'!D80</f>
        <v>18830.774460292188</v>
      </c>
      <c r="E787" s="2606">
        <f>'Part VI-Pro Forma'!E80</f>
        <v>19207.389949498029</v>
      </c>
      <c r="F787" s="2606">
        <f>'Part VI-Pro Forma'!F80</f>
        <v>19591.53774848799</v>
      </c>
      <c r="G787" s="2606">
        <f>'Part VI-Pro Forma'!G80</f>
        <v>19983.368503457747</v>
      </c>
      <c r="H787" s="2606">
        <f>'Part VI-Pro Forma'!H80</f>
        <v>20383.035873526904</v>
      </c>
      <c r="I787" s="2606">
        <f>'Part VI-Pro Forma'!I80</f>
        <v>20790.696590997439</v>
      </c>
      <c r="J787" s="2606">
        <f>'Part VI-Pro Forma'!J80</f>
        <v>21206.510522817392</v>
      </c>
      <c r="K787" s="2606">
        <f>'Part VI-Pro Forma'!K80</f>
        <v>21630.640733273736</v>
      </c>
    </row>
    <row r="788" spans="1:11">
      <c r="A788" s="357" t="s">
        <v>2216</v>
      </c>
      <c r="B788" s="2606">
        <f>'Part VI-Pro Forma'!B81</f>
        <v>-64615.402559826143</v>
      </c>
      <c r="C788" s="2606">
        <f>'Part VI-Pro Forma'!C81</f>
        <v>-65907.71061102266</v>
      </c>
      <c r="D788" s="2606">
        <f>'Part VI-Pro Forma'!D81</f>
        <v>-67225.864823243115</v>
      </c>
      <c r="E788" s="2606">
        <f>'Part VI-Pro Forma'!E81</f>
        <v>-68570.382119707967</v>
      </c>
      <c r="F788" s="2606">
        <f>'Part VI-Pro Forma'!F81</f>
        <v>-69941.789762102126</v>
      </c>
      <c r="G788" s="2606">
        <f>'Part VI-Pro Forma'!G81</f>
        <v>-71340.625557344174</v>
      </c>
      <c r="H788" s="2606">
        <f>'Part VI-Pro Forma'!H81</f>
        <v>-72767.438068491057</v>
      </c>
      <c r="I788" s="2606">
        <f>'Part VI-Pro Forma'!I81</f>
        <v>-74222.786829860866</v>
      </c>
      <c r="J788" s="2606">
        <f>'Part VI-Pro Forma'!J81</f>
        <v>-75707.24256645811</v>
      </c>
      <c r="K788" s="2606">
        <f>'Part VI-Pro Forma'!K81</f>
        <v>-77221.387417787249</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858461.7768662615</v>
      </c>
      <c r="C791" s="2606">
        <f>'Part VI-Pro Forma'!C84</f>
        <v>875631.01240358665</v>
      </c>
      <c r="D791" s="2606">
        <f>'Part VI-Pro Forma'!D84</f>
        <v>893143.6326516585</v>
      </c>
      <c r="E791" s="2606">
        <f>'Part VI-Pro Forma'!E84</f>
        <v>911006.50530469138</v>
      </c>
      <c r="F791" s="2606">
        <f>'Part VI-Pro Forma'!F84</f>
        <v>929226.63541078544</v>
      </c>
      <c r="G791" s="2606">
        <f>'Part VI-Pro Forma'!G84</f>
        <v>947811.16811900097</v>
      </c>
      <c r="H791" s="2606">
        <f>'Part VI-Pro Forma'!H84</f>
        <v>966767.39148138114</v>
      </c>
      <c r="I791" s="2606">
        <f>'Part VI-Pro Forma'!I84</f>
        <v>986102.73931100848</v>
      </c>
      <c r="J791" s="2606">
        <f>'Part VI-Pro Forma'!J84</f>
        <v>1005824.794097229</v>
      </c>
      <c r="K791" s="2606">
        <f>'Part VI-Pro Forma'!K84</f>
        <v>1025941.2899791733</v>
      </c>
    </row>
    <row r="792" spans="1:11">
      <c r="A792" s="357" t="s">
        <v>572</v>
      </c>
      <c r="B792" s="2606">
        <f>'Part VI-Pro Forma'!B85</f>
        <v>-552637.52780661639</v>
      </c>
      <c r="C792" s="2606">
        <f>'Part VI-Pro Forma'!C85</f>
        <v>-569216.65364081482</v>
      </c>
      <c r="D792" s="2606">
        <f>'Part VI-Pro Forma'!D85</f>
        <v>-586293.15325003932</v>
      </c>
      <c r="E792" s="2606">
        <f>'Part VI-Pro Forma'!E85</f>
        <v>-603881.94784754049</v>
      </c>
      <c r="F792" s="2606">
        <f>'Part VI-Pro Forma'!F85</f>
        <v>-621998.40628296672</v>
      </c>
      <c r="G792" s="2606">
        <f>'Part VI-Pro Forma'!G85</f>
        <v>-640658.35847145563</v>
      </c>
      <c r="H792" s="2606">
        <f>'Part VI-Pro Forma'!H85</f>
        <v>-659878.10922559944</v>
      </c>
      <c r="I792" s="2606">
        <f>'Part VI-Pro Forma'!I85</f>
        <v>-679674.45250236732</v>
      </c>
      <c r="J792" s="2606">
        <f>'Part VI-Pro Forma'!J85</f>
        <v>-700064.68607743829</v>
      </c>
      <c r="K792" s="2606">
        <f>'Part VI-Pro Forma'!K85</f>
        <v>-721066.62665976142</v>
      </c>
    </row>
    <row r="793" spans="1:11">
      <c r="A793" s="357" t="s">
        <v>1050</v>
      </c>
      <c r="B793" s="2606">
        <f>'Part VI-Pro Forma'!B86</f>
        <v>-51508</v>
      </c>
      <c r="C793" s="2606">
        <f>'Part VI-Pro Forma'!C86</f>
        <v>-52538</v>
      </c>
      <c r="D793" s="2606">
        <f>'Part VI-Pro Forma'!D86</f>
        <v>-53589</v>
      </c>
      <c r="E793" s="2606">
        <f>'Part VI-Pro Forma'!E86</f>
        <v>-54660</v>
      </c>
      <c r="F793" s="2606">
        <f>'Part VI-Pro Forma'!F86</f>
        <v>-55754</v>
      </c>
      <c r="G793" s="2606">
        <f>'Part VI-Pro Forma'!G86</f>
        <v>-56869</v>
      </c>
      <c r="H793" s="2606">
        <f>'Part VI-Pro Forma'!H86</f>
        <v>-58006</v>
      </c>
      <c r="I793" s="2606">
        <f>'Part VI-Pro Forma'!I86</f>
        <v>-59166</v>
      </c>
      <c r="J793" s="2606">
        <f>'Part VI-Pro Forma'!J86</f>
        <v>-60349</v>
      </c>
      <c r="K793" s="2606">
        <f>'Part VI-Pro Forma'!K86</f>
        <v>-61556</v>
      </c>
    </row>
    <row r="794" spans="1:11">
      <c r="A794" s="357" t="s">
        <v>1128</v>
      </c>
      <c r="B794" s="2606">
        <f>'Part VI-Pro Forma'!B87</f>
        <v>-21221.807007365605</v>
      </c>
      <c r="C794" s="2606">
        <f>'Part VI-Pro Forma'!C87</f>
        <v>-21858.46121758657</v>
      </c>
      <c r="D794" s="2606">
        <f>'Part VI-Pro Forma'!D87</f>
        <v>-22514.215054114171</v>
      </c>
      <c r="E794" s="2606">
        <f>'Part VI-Pro Forma'!E87</f>
        <v>-23189.641505737596</v>
      </c>
      <c r="F794" s="2606">
        <f>'Part VI-Pro Forma'!F87</f>
        <v>-23885.330750909721</v>
      </c>
      <c r="G794" s="2606">
        <f>'Part VI-Pro Forma'!G87</f>
        <v>-24601.890673437014</v>
      </c>
      <c r="H794" s="2606">
        <f>'Part VI-Pro Forma'!H87</f>
        <v>-25339.947393640126</v>
      </c>
      <c r="I794" s="2606">
        <f>'Part VI-Pro Forma'!I87</f>
        <v>-26100.145815449327</v>
      </c>
      <c r="J794" s="2606">
        <f>'Part VI-Pro Forma'!J87</f>
        <v>-26883.150189912809</v>
      </c>
      <c r="K794" s="2606">
        <f>'Part VI-Pro Forma'!K87</f>
        <v>-27689.64469561019</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233094.44205227951</v>
      </c>
      <c r="C796" s="2606">
        <f t="shared" si="395"/>
        <v>232017.89754518526</v>
      </c>
      <c r="D796" s="2606">
        <f t="shared" si="395"/>
        <v>230747.264347505</v>
      </c>
      <c r="E796" s="2606">
        <f t="shared" si="395"/>
        <v>229274.91595141331</v>
      </c>
      <c r="F796" s="2606">
        <f t="shared" si="395"/>
        <v>227588.898376909</v>
      </c>
      <c r="G796" s="2606">
        <f t="shared" si="395"/>
        <v>225681.91897410832</v>
      </c>
      <c r="H796" s="2606">
        <f t="shared" si="395"/>
        <v>223543.33486214158</v>
      </c>
      <c r="I796" s="2606">
        <f t="shared" si="395"/>
        <v>221162.14099319183</v>
      </c>
      <c r="J796" s="2606">
        <f t="shared" si="395"/>
        <v>218527.95782987791</v>
      </c>
      <c r="K796" s="2606">
        <f t="shared" si="395"/>
        <v>215629.01862380173</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225594.44205227951</v>
      </c>
      <c r="C803" s="2606">
        <f t="shared" si="396"/>
        <v>224517.89754518526</v>
      </c>
      <c r="D803" s="2606">
        <f t="shared" si="396"/>
        <v>223247.264347505</v>
      </c>
      <c r="E803" s="2606">
        <f t="shared" si="396"/>
        <v>221774.91595141331</v>
      </c>
      <c r="F803" s="2606">
        <f t="shared" si="396"/>
        <v>220088.898376909</v>
      </c>
      <c r="G803" s="2606">
        <f t="shared" si="396"/>
        <v>218181.91897410832</v>
      </c>
      <c r="H803" s="2606">
        <f t="shared" si="396"/>
        <v>216043.33486214158</v>
      </c>
      <c r="I803" s="2606">
        <f t="shared" si="396"/>
        <v>213662.14099319183</v>
      </c>
      <c r="J803" s="2606">
        <f t="shared" si="396"/>
        <v>211027.95782987791</v>
      </c>
      <c r="K803" s="2606">
        <f t="shared" si="396"/>
        <v>208129.01862380173</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1.3727320393566995</v>
      </c>
      <c r="C809" s="2608">
        <f t="shared" ref="C809:K809" si="402">IF(OR(C793="Choose mgt fee",C793="Choose One!"),"",(C786+C787+C788+C789+C790) / -(C792+C793+C794))</f>
        <v>1.3604928056760164</v>
      </c>
      <c r="D809" s="2608">
        <f t="shared" si="402"/>
        <v>1.3483522485762671</v>
      </c>
      <c r="E809" s="2608">
        <f t="shared" si="402"/>
        <v>1.3363125891949852</v>
      </c>
      <c r="F809" s="2608">
        <f t="shared" si="402"/>
        <v>1.3243680981855748</v>
      </c>
      <c r="G809" s="2608">
        <f t="shared" si="402"/>
        <v>1.3125228887229661</v>
      </c>
      <c r="H809" s="2608">
        <f t="shared" si="402"/>
        <v>1.3007751604260367</v>
      </c>
      <c r="I809" s="2608">
        <f t="shared" si="402"/>
        <v>1.2891232881083188</v>
      </c>
      <c r="J809" s="2608">
        <f t="shared" si="402"/>
        <v>1.277567427891543</v>
      </c>
      <c r="K809" s="2608">
        <f t="shared" si="402"/>
        <v>1.2661060757023082</v>
      </c>
    </row>
    <row r="810" spans="1:11">
      <c r="A810" s="357" t="s">
        <v>2405</v>
      </c>
      <c r="B810" s="2606">
        <f>'Part VI-Pro Forma'!B103</f>
        <v>2889518.3361028433</v>
      </c>
      <c r="C810" s="2606">
        <f>'Part VI-Pro Forma'!C103</f>
        <v>3084936.4513572128</v>
      </c>
      <c r="D810" s="2606">
        <f>'Part VI-Pro Forma'!D103</f>
        <v>3293570.693082361</v>
      </c>
      <c r="E810" s="2606">
        <f>'Part VI-Pro Forma'!E103</f>
        <v>3516314.8678666092</v>
      </c>
      <c r="F810" s="2606">
        <f>'Part VI-Pro Forma'!F103</f>
        <v>3754123.2304348103</v>
      </c>
      <c r="G810" s="2606">
        <f>'Part VI-Pro Forma'!G103</f>
        <v>4008014.5717556165</v>
      </c>
      <c r="H810" s="2606">
        <f>'Part VI-Pro Forma'!H103</f>
        <v>4279076.5836274298</v>
      </c>
      <c r="I810" s="2606">
        <f>'Part VI-Pro Forma'!I103</f>
        <v>4568470.5184412822</v>
      </c>
      <c r="J810" s="2606">
        <f>'Part VI-Pro Forma'!J103</f>
        <v>4877436.1640834669</v>
      </c>
      <c r="K810" s="2606">
        <f>'Part VI-Pro Forma'!K103</f>
        <v>5207297.155290815</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1103162.6773969608</v>
      </c>
      <c r="C816" s="2606">
        <f>'Part VI-Pro Forma'!C109</f>
        <v>1125225.9309448998</v>
      </c>
      <c r="D816" s="2606">
        <f>'Part VI-Pro Forma'!D109</f>
        <v>1147730.449563798</v>
      </c>
      <c r="E816" s="2606">
        <f>'Part VI-Pro Forma'!E109</f>
        <v>1170685.058555074</v>
      </c>
      <c r="F816" s="2606">
        <f>'Part VI-Pro Forma'!F109</f>
        <v>1194098.7597261753</v>
      </c>
      <c r="G816" s="2606"/>
      <c r="H816" s="2606"/>
      <c r="I816" s="2606"/>
      <c r="J816" s="2606"/>
      <c r="K816" s="2606"/>
    </row>
    <row r="817" spans="1:11">
      <c r="A817" s="357" t="s">
        <v>952</v>
      </c>
      <c r="B817" s="2606">
        <f>'Part VI-Pro Forma'!B110</f>
        <v>22063.253547939214</v>
      </c>
      <c r="C817" s="2606">
        <f>'Part VI-Pro Forma'!C110</f>
        <v>22504.518618897993</v>
      </c>
      <c r="D817" s="2606">
        <f>'Part VI-Pro Forma'!D110</f>
        <v>22954.608991275956</v>
      </c>
      <c r="E817" s="2606">
        <f>'Part VI-Pro Forma'!E110</f>
        <v>23413.701171101478</v>
      </c>
      <c r="F817" s="2606">
        <f>'Part VI-Pro Forma'!F110</f>
        <v>23881.975194523508</v>
      </c>
      <c r="G817" s="2606"/>
      <c r="H817" s="2606"/>
      <c r="I817" s="2606"/>
      <c r="J817" s="2606"/>
      <c r="K817" s="2606"/>
    </row>
    <row r="818" spans="1:11">
      <c r="A818" s="357" t="s">
        <v>2216</v>
      </c>
      <c r="B818" s="2606">
        <f>'Part VI-Pro Forma'!B111</f>
        <v>-78765.815166143017</v>
      </c>
      <c r="C818" s="2606">
        <f>'Part VI-Pro Forma'!C111</f>
        <v>-80341.13146946585</v>
      </c>
      <c r="D818" s="2606">
        <f>'Part VI-Pro Forma'!D111</f>
        <v>-81947.954098855189</v>
      </c>
      <c r="E818" s="2606">
        <f>'Part VI-Pro Forma'!E111</f>
        <v>-83586.9131808323</v>
      </c>
      <c r="F818" s="2606">
        <f>'Part VI-Pro Forma'!F111</f>
        <v>-85258.651444448929</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1046460.115778757</v>
      </c>
      <c r="C821" s="2606">
        <f>'Part VI-Pro Forma'!C114</f>
        <v>1067389.318094332</v>
      </c>
      <c r="D821" s="2606">
        <f>'Part VI-Pro Forma'!D114</f>
        <v>1088737.1044562189</v>
      </c>
      <c r="E821" s="2606">
        <f>'Part VI-Pro Forma'!E114</f>
        <v>1110511.8465453433</v>
      </c>
      <c r="F821" s="2606">
        <f>'Part VI-Pro Forma'!F114</f>
        <v>1132722.0834762501</v>
      </c>
      <c r="G821" s="2606"/>
      <c r="H821" s="2606"/>
      <c r="I821" s="2606"/>
      <c r="J821" s="2606"/>
      <c r="K821" s="2606"/>
    </row>
    <row r="822" spans="1:11">
      <c r="A822" s="357" t="s">
        <v>572</v>
      </c>
      <c r="B822" s="2606">
        <f>'Part VI-Pro Forma'!B115</f>
        <v>-742698.62545955426</v>
      </c>
      <c r="C822" s="2606">
        <f>'Part VI-Pro Forma'!C115</f>
        <v>-764979.58422334108</v>
      </c>
      <c r="D822" s="2606">
        <f>'Part VI-Pro Forma'!D115</f>
        <v>-787928.97175004112</v>
      </c>
      <c r="E822" s="2606">
        <f>'Part VI-Pro Forma'!E115</f>
        <v>-811566.84090254235</v>
      </c>
      <c r="F822" s="2606">
        <f>'Part VI-Pro Forma'!F115</f>
        <v>-835913.84612961847</v>
      </c>
      <c r="G822" s="2606"/>
      <c r="H822" s="2606"/>
      <c r="I822" s="2606"/>
      <c r="J822" s="2606"/>
      <c r="K822" s="2606"/>
    </row>
    <row r="823" spans="1:11">
      <c r="A823" s="357" t="s">
        <v>1050</v>
      </c>
      <c r="B823" s="2606">
        <f>'Part VI-Pro Forma'!B116</f>
        <v>-62788</v>
      </c>
      <c r="C823" s="2606">
        <f>'Part VI-Pro Forma'!C116</f>
        <v>-64043</v>
      </c>
      <c r="D823" s="2606">
        <f>'Part VI-Pro Forma'!D116</f>
        <v>-65324</v>
      </c>
      <c r="E823" s="2606">
        <f>'Part VI-Pro Forma'!E116</f>
        <v>-66631</v>
      </c>
      <c r="F823" s="2606">
        <f>'Part VI-Pro Forma'!F116</f>
        <v>-67963</v>
      </c>
      <c r="G823" s="2606"/>
      <c r="H823" s="2606"/>
      <c r="I823" s="2606"/>
      <c r="J823" s="2606"/>
      <c r="K823" s="2606"/>
    </row>
    <row r="824" spans="1:11">
      <c r="A824" s="357" t="s">
        <v>1128</v>
      </c>
      <c r="B824" s="2606">
        <f>'Part VI-Pro Forma'!B117</f>
        <v>-28520.334036478493</v>
      </c>
      <c r="C824" s="2606">
        <f>'Part VI-Pro Forma'!C117</f>
        <v>-29375.944057572855</v>
      </c>
      <c r="D824" s="2606">
        <f>'Part VI-Pro Forma'!D117</f>
        <v>-30257.222379300034</v>
      </c>
      <c r="E824" s="2606">
        <f>'Part VI-Pro Forma'!E117</f>
        <v>-31164.939050679037</v>
      </c>
      <c r="F824" s="2606">
        <f>'Part VI-Pro Forma'!F117</f>
        <v>-32099.887222199402</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212453.15628272429</v>
      </c>
      <c r="C826" s="2606">
        <f>SUM(C821:C825)</f>
        <v>208990.78981341806</v>
      </c>
      <c r="D826" s="2606">
        <f>SUM(D821:D825)</f>
        <v>205226.91032687773</v>
      </c>
      <c r="E826" s="2606">
        <f>SUM(E821:E825)</f>
        <v>201149.0665921219</v>
      </c>
      <c r="F826" s="2606">
        <f>SUM(F821:F825)</f>
        <v>196745.35012443218</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204953.15628272429</v>
      </c>
      <c r="C833" s="2606">
        <f>SUM(C826:C832)</f>
        <v>201490.78981341806</v>
      </c>
      <c r="D833" s="2606">
        <f>SUM(D826:D832)</f>
        <v>197726.91032687773</v>
      </c>
      <c r="E833" s="2606">
        <f>SUM(E826:E832)</f>
        <v>193649.0665921219</v>
      </c>
      <c r="F833" s="2606">
        <f>SUM(F826:F832)</f>
        <v>189245.35012443218</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1.2547378698267744</v>
      </c>
      <c r="C839" s="2608">
        <f>IF(OR(C823="Choose mgt fee",C823="Choose One!"),"",(C816+C817+C818+C819+C820) / -(C822+C823+C824))</f>
        <v>1.2434659227945752</v>
      </c>
      <c r="D839" s="2608">
        <f>IF(OR(D823="Choose mgt fee",D823="Choose One!"),"",(D816+D817+D818+D819+D820) / -(D822+D823+D824))</f>
        <v>1.2322858430955848</v>
      </c>
      <c r="E839" s="2608">
        <f>IF(OR(E823="Choose mgt fee",E823="Choose One!"),"",(E816+E817+E818+E819+E820) / -(E822+E823+E824))</f>
        <v>1.2211978222843796</v>
      </c>
      <c r="F839" s="2608">
        <f>IF(OR(F823="Choose mgt fee",F823="Choose One!"),"",(F816+F817+F818+F819+F820) / -(F822+F823+F824))</f>
        <v>1.2102032487707992</v>
      </c>
      <c r="G839" s="2606"/>
      <c r="H839" s="2606"/>
      <c r="I839" s="2606"/>
      <c r="J839" s="2606"/>
      <c r="K839" s="2606"/>
    </row>
    <row r="840" spans="1:11">
      <c r="A840" s="357" t="s">
        <v>2405</v>
      </c>
      <c r="B840" s="2606">
        <f>'Part VI-Pro Forma'!B133</f>
        <v>5559466.6442129137</v>
      </c>
      <c r="C840" s="2606">
        <f>'Part VI-Pro Forma'!C133</f>
        <v>5935453.3544744244</v>
      </c>
      <c r="D840" s="2606">
        <f>'Part VI-Pro Forma'!D133</f>
        <v>6336868.0446736198</v>
      </c>
      <c r="E840" s="2606">
        <f>'Part VI-Pro Forma'!E133</f>
        <v>6765430.4090073016</v>
      </c>
      <c r="F840" s="2606">
        <f>'Part VI-Pro Forma'!F133</f>
        <v>7222976.4445849583</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Debt coverage ratio for the Legacy Bank loan is at or above 1.20 for the full 17-year term of the loan.  Sufficient cash flow exists to repay the projected deferred developer year by Year 15.</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Fairhaven on Campbellton,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4">
      <c r="A860" s="2857" t="s">
        <v>6994</v>
      </c>
      <c r="B860" s="2858"/>
      <c r="C860" s="2858"/>
      <c r="D860" s="2858"/>
      <c r="E860" s="2858"/>
      <c r="F860" s="2858"/>
      <c r="G860" s="2858"/>
      <c r="H860" s="2858"/>
      <c r="I860" s="2859"/>
      <c r="J860" s="2859"/>
      <c r="K860" s="2860"/>
      <c r="L860" s="2860"/>
      <c r="M860" s="2860"/>
      <c r="N860" s="2860"/>
      <c r="O860" s="2860"/>
      <c r="P860" s="2859"/>
      <c r="Q860" s="2859"/>
    </row>
    <row r="861" spans="1:17" ht="14">
      <c r="A861" s="2861" t="s">
        <v>3066</v>
      </c>
      <c r="B861" s="2858"/>
      <c r="C861" s="2858"/>
      <c r="D861" s="2858"/>
      <c r="E861" s="2858"/>
      <c r="F861" s="2858"/>
      <c r="G861" s="2858"/>
      <c r="H861" s="2106"/>
      <c r="I861" s="2859"/>
      <c r="J861" s="2859"/>
      <c r="K861" s="2106"/>
      <c r="L861" s="2106"/>
      <c r="M861" s="2109"/>
      <c r="N861" s="2109"/>
      <c r="O861" s="2858"/>
      <c r="P861" s="2858"/>
      <c r="Q861" s="2858"/>
    </row>
    <row r="862" spans="1:17" ht="15">
      <c r="A862" s="2862" t="s">
        <v>1329</v>
      </c>
      <c r="B862" s="2862"/>
      <c r="C862" s="2862"/>
      <c r="D862" s="2862"/>
      <c r="E862" s="2862"/>
      <c r="F862" s="2862"/>
      <c r="G862" s="2862"/>
      <c r="H862" s="2862"/>
      <c r="I862" s="2862"/>
      <c r="J862" s="2862"/>
      <c r="K862" s="2862"/>
      <c r="L862" s="2862"/>
      <c r="M862" s="2862"/>
      <c r="N862" s="2862"/>
      <c r="O862" s="2862"/>
      <c r="P862" s="2862"/>
      <c r="Q862" s="2862"/>
    </row>
    <row r="863" spans="1:17" ht="15">
      <c r="A863" s="2862" t="s">
        <v>218</v>
      </c>
      <c r="B863" s="2862"/>
      <c r="C863" s="2862"/>
      <c r="D863" s="2862"/>
      <c r="E863" s="2862"/>
      <c r="F863" s="2862"/>
      <c r="G863" s="2862"/>
      <c r="H863" s="2862"/>
      <c r="I863" s="2862"/>
      <c r="J863" s="2862"/>
      <c r="K863" s="2862"/>
      <c r="L863" s="2862"/>
      <c r="M863" s="2862"/>
      <c r="N863" s="2862"/>
      <c r="O863" s="2862"/>
      <c r="P863" s="2862"/>
      <c r="Q863" s="2862"/>
    </row>
    <row r="864" spans="1:17" ht="15">
      <c r="A864" s="2862" t="s">
        <v>1325</v>
      </c>
      <c r="B864" s="2862"/>
      <c r="C864" s="2862"/>
      <c r="D864" s="2862"/>
      <c r="E864" s="2862"/>
      <c r="F864" s="2862"/>
      <c r="G864" s="2862"/>
      <c r="H864" s="2862"/>
      <c r="I864" s="2862"/>
      <c r="J864" s="2862"/>
      <c r="K864" s="2862"/>
      <c r="L864" s="2862"/>
      <c r="M864" s="2862"/>
      <c r="N864" s="2862"/>
      <c r="O864" s="2862"/>
      <c r="P864" s="2862"/>
      <c r="Q864" s="2862"/>
    </row>
    <row r="865" spans="1:17" ht="15">
      <c r="A865" s="2862" t="s">
        <v>1326</v>
      </c>
      <c r="B865" s="2862"/>
      <c r="C865" s="2862"/>
      <c r="D865" s="2862"/>
      <c r="E865" s="2862"/>
      <c r="F865" s="2862"/>
      <c r="G865" s="2862"/>
      <c r="H865" s="2862"/>
      <c r="I865" s="2862"/>
      <c r="J865" s="2862"/>
      <c r="K865" s="2862"/>
      <c r="L865" s="2862"/>
      <c r="M865" s="2862"/>
      <c r="N865" s="2862"/>
      <c r="O865" s="2862"/>
      <c r="P865" s="2862"/>
      <c r="Q865" s="2862"/>
    </row>
    <row r="866" spans="1:17" ht="15">
      <c r="A866" s="2862" t="s">
        <v>1327</v>
      </c>
      <c r="B866" s="2862"/>
      <c r="C866" s="2862"/>
      <c r="D866" s="2862"/>
      <c r="E866" s="2862"/>
      <c r="F866" s="2862"/>
      <c r="G866" s="2862"/>
      <c r="H866" s="2862"/>
      <c r="I866" s="2862"/>
      <c r="J866" s="2862"/>
      <c r="K866" s="2862"/>
      <c r="L866" s="2862"/>
      <c r="M866" s="2862"/>
      <c r="N866" s="2862"/>
      <c r="O866" s="2862"/>
      <c r="P866" s="2862"/>
      <c r="Q866" s="2862"/>
    </row>
    <row r="867" spans="1:17" ht="15">
      <c r="A867" s="2862" t="s">
        <v>1328</v>
      </c>
      <c r="B867" s="2862"/>
      <c r="C867" s="2862"/>
      <c r="D867" s="2862"/>
      <c r="E867" s="2862"/>
      <c r="F867" s="2862"/>
      <c r="G867" s="2862"/>
      <c r="H867" s="2862"/>
      <c r="I867" s="2862"/>
      <c r="J867" s="2862"/>
      <c r="K867" s="2862"/>
      <c r="L867" s="2862"/>
      <c r="M867" s="2862"/>
      <c r="N867" s="2862"/>
      <c r="O867" s="2862"/>
      <c r="P867" s="2862"/>
      <c r="Q867" s="2862"/>
    </row>
    <row r="868" spans="1:17" ht="15">
      <c r="A868" s="2862" t="s">
        <v>1330</v>
      </c>
      <c r="B868" s="2862"/>
      <c r="C868" s="2862"/>
      <c r="D868" s="2862"/>
      <c r="E868" s="2862"/>
      <c r="F868" s="2862"/>
      <c r="G868" s="2862"/>
      <c r="H868" s="2862"/>
      <c r="I868" s="2862"/>
      <c r="J868" s="2862"/>
      <c r="K868" s="2862"/>
      <c r="L868" s="2862"/>
      <c r="M868" s="2862"/>
      <c r="N868" s="2862"/>
      <c r="O868" s="2862"/>
      <c r="P868" s="2862"/>
      <c r="Q868" s="2862"/>
    </row>
    <row r="869" spans="1:17" ht="15">
      <c r="A869" s="2862" t="s">
        <v>1872</v>
      </c>
      <c r="B869" s="2862"/>
      <c r="C869" s="2862"/>
      <c r="D869" s="2862"/>
      <c r="E869" s="2862"/>
      <c r="F869" s="2862"/>
      <c r="G869" s="2862"/>
      <c r="H869" s="2862"/>
      <c r="I869" s="2862"/>
      <c r="J869" s="2862"/>
      <c r="K869" s="2862"/>
      <c r="L869" s="2862"/>
      <c r="M869" s="2862"/>
      <c r="N869" s="2862"/>
      <c r="O869" s="2862"/>
      <c r="P869" s="2862"/>
      <c r="Q869" s="2862"/>
    </row>
    <row r="870" spans="1:17" ht="15">
      <c r="A870" s="2862" t="s">
        <v>1873</v>
      </c>
      <c r="B870" s="2862"/>
      <c r="C870" s="2862"/>
      <c r="D870" s="2862"/>
      <c r="E870" s="2862"/>
      <c r="F870" s="2862"/>
      <c r="G870" s="2862"/>
      <c r="H870" s="2862"/>
      <c r="I870" s="2862"/>
      <c r="J870" s="2862"/>
      <c r="K870" s="2862"/>
      <c r="L870" s="2862"/>
      <c r="M870" s="2862"/>
      <c r="N870" s="2862"/>
      <c r="O870" s="2862"/>
      <c r="P870" s="2862"/>
      <c r="Q870" s="2862"/>
    </row>
    <row r="871" spans="1:17" ht="15">
      <c r="A871" s="2862" t="s">
        <v>1874</v>
      </c>
      <c r="B871" s="2862"/>
      <c r="C871" s="2862"/>
      <c r="D871" s="2862"/>
      <c r="E871" s="2862"/>
      <c r="F871" s="2862"/>
      <c r="G871" s="2862"/>
      <c r="H871" s="2862"/>
      <c r="I871" s="2862"/>
      <c r="J871" s="2862"/>
      <c r="K871" s="2862"/>
      <c r="L871" s="2862"/>
      <c r="M871" s="2862"/>
      <c r="N871" s="2862"/>
      <c r="O871" s="2862"/>
      <c r="P871" s="2862"/>
      <c r="Q871" s="2862"/>
    </row>
    <row r="872" spans="1:17" ht="15">
      <c r="A872" s="2862" t="s">
        <v>1875</v>
      </c>
      <c r="B872" s="2862"/>
      <c r="C872" s="2862"/>
      <c r="D872" s="2862"/>
      <c r="E872" s="2862"/>
      <c r="F872" s="2862"/>
      <c r="G872" s="2862"/>
      <c r="H872" s="2862"/>
      <c r="I872" s="2862"/>
      <c r="J872" s="2862"/>
      <c r="K872" s="2862"/>
      <c r="L872" s="2862"/>
      <c r="M872" s="2862"/>
      <c r="N872" s="2862"/>
      <c r="O872" s="2862"/>
      <c r="P872" s="2862"/>
      <c r="Q872" s="2862"/>
    </row>
    <row r="873" spans="1:17" ht="15">
      <c r="A873" s="2862" t="s">
        <v>1876</v>
      </c>
      <c r="B873" s="2862"/>
      <c r="C873" s="2862"/>
      <c r="D873" s="2862"/>
      <c r="E873" s="2862"/>
      <c r="F873" s="2862"/>
      <c r="G873" s="2862"/>
      <c r="H873" s="2862"/>
      <c r="I873" s="2862"/>
      <c r="J873" s="2862"/>
      <c r="K873" s="2862"/>
      <c r="L873" s="2862"/>
      <c r="M873" s="2862"/>
      <c r="N873" s="2862"/>
      <c r="O873" s="2862"/>
      <c r="P873" s="2862"/>
      <c r="Q873" s="2862"/>
    </row>
    <row r="874" spans="1:17" ht="15">
      <c r="A874" s="2862" t="s">
        <v>1877</v>
      </c>
      <c r="B874" s="2862"/>
      <c r="C874" s="2862"/>
      <c r="D874" s="2862"/>
      <c r="E874" s="2862"/>
      <c r="F874" s="2862"/>
      <c r="G874" s="2862"/>
      <c r="H874" s="2862"/>
      <c r="I874" s="2862"/>
      <c r="J874" s="2862"/>
      <c r="K874" s="2862"/>
      <c r="L874" s="2862"/>
      <c r="M874" s="2862"/>
      <c r="N874" s="2862"/>
      <c r="O874" s="2862"/>
      <c r="P874" s="2862"/>
      <c r="Q874" s="2862"/>
    </row>
    <row r="875" spans="1:17" ht="15">
      <c r="A875" s="2862" t="s">
        <v>1878</v>
      </c>
      <c r="B875" s="2862"/>
      <c r="C875" s="2862"/>
      <c r="D875" s="2862"/>
      <c r="E875" s="2862"/>
      <c r="F875" s="2862"/>
      <c r="G875" s="2862"/>
      <c r="H875" s="2862"/>
      <c r="I875" s="2862"/>
      <c r="J875" s="2862"/>
      <c r="K875" s="2862"/>
      <c r="L875" s="2862"/>
      <c r="M875" s="2862"/>
      <c r="N875" s="2862"/>
      <c r="O875" s="2862"/>
      <c r="P875" s="2862"/>
      <c r="Q875" s="2862"/>
    </row>
    <row r="876" spans="1:17" ht="15">
      <c r="A876" s="2862" t="s">
        <v>1879</v>
      </c>
      <c r="B876" s="2862"/>
      <c r="C876" s="2862"/>
      <c r="D876" s="2862"/>
      <c r="E876" s="2862"/>
      <c r="F876" s="2862"/>
      <c r="G876" s="2862"/>
      <c r="H876" s="2862"/>
      <c r="I876" s="2862"/>
      <c r="J876" s="2862"/>
      <c r="K876" s="2862"/>
      <c r="L876" s="2862"/>
      <c r="M876" s="2862"/>
      <c r="N876" s="2862"/>
      <c r="O876" s="2862"/>
      <c r="P876" s="2862"/>
      <c r="Q876" s="2862"/>
    </row>
    <row r="877" spans="1:17" ht="15">
      <c r="A877" s="2862" t="s">
        <v>1880</v>
      </c>
      <c r="B877" s="2862"/>
      <c r="C877" s="2862"/>
      <c r="D877" s="2862"/>
      <c r="E877" s="2862"/>
      <c r="F877" s="2862"/>
      <c r="G877" s="2862"/>
      <c r="H877" s="2862"/>
      <c r="I877" s="2862"/>
      <c r="J877" s="2862"/>
      <c r="K877" s="2862"/>
      <c r="L877" s="2862"/>
      <c r="M877" s="2862"/>
      <c r="N877" s="2862"/>
      <c r="O877" s="2862"/>
      <c r="P877" s="2862"/>
      <c r="Q877" s="2862"/>
    </row>
    <row r="878" spans="1:17" ht="15">
      <c r="A878" s="2862" t="s">
        <v>1881</v>
      </c>
      <c r="B878" s="2862"/>
      <c r="C878" s="2862"/>
      <c r="D878" s="2862"/>
      <c r="E878" s="2862"/>
      <c r="F878" s="2862"/>
      <c r="G878" s="2862"/>
      <c r="H878" s="2862"/>
      <c r="I878" s="2862"/>
      <c r="J878" s="2862"/>
      <c r="K878" s="2862"/>
      <c r="L878" s="2862"/>
      <c r="M878" s="2862"/>
      <c r="N878" s="2862"/>
      <c r="O878" s="2862"/>
      <c r="P878" s="2862"/>
      <c r="Q878" s="2862"/>
    </row>
    <row r="879" spans="1:17" ht="15">
      <c r="A879" s="2862" t="s">
        <v>1882</v>
      </c>
      <c r="B879" s="2862"/>
      <c r="C879" s="2862"/>
      <c r="D879" s="2862"/>
      <c r="E879" s="2862"/>
      <c r="F879" s="2862"/>
      <c r="G879" s="2862"/>
      <c r="H879" s="2862"/>
      <c r="I879" s="2862"/>
      <c r="J879" s="2862"/>
      <c r="K879" s="2862"/>
      <c r="L879" s="2862"/>
      <c r="M879" s="2862"/>
      <c r="N879" s="2862"/>
      <c r="O879" s="2862"/>
      <c r="P879" s="2862"/>
      <c r="Q879" s="2862"/>
    </row>
    <row r="880" spans="1:17" ht="14">
      <c r="A880" s="2858"/>
      <c r="B880" s="2858"/>
      <c r="C880" s="2858"/>
      <c r="D880" s="2858"/>
      <c r="E880" s="2858"/>
      <c r="F880" s="2858"/>
      <c r="G880" s="2858"/>
      <c r="H880" s="2858"/>
      <c r="I880" s="2858"/>
      <c r="J880" s="2858"/>
      <c r="K880" s="2858"/>
      <c r="L880" s="2858"/>
      <c r="M880" s="2858"/>
      <c r="N880" s="2858"/>
      <c r="O880" s="2858"/>
      <c r="P880" s="2858"/>
      <c r="Q880" s="2858"/>
    </row>
    <row r="881" spans="1:17" ht="14">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4">
      <c r="A883" s="2106"/>
      <c r="B883" s="2865" t="s">
        <v>6773</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Development costs have been underwritten by an experienced contractor based upon current market pricing in the Atlanta market area.  Non-eligible costs for the mixed-used building and market rate units have not been included in eligible basis.  Operating costs are supported by third-party estimates and meet or exceed all DCA requirements.  Financing commitment letters contain all required information which document the financing costs that are reflected in the provided underwriting.  Development site is zoned for the intended use and in close proximity to a wide variety of amenities.  Applicant is an experienced national developer and owner of affordable housing (with Georgia-specific prior experience).  Development site is located in a 2023 Qualified Census Tract and not within a 1-mile radius of a prior 9% award in the past 6 years.</v>
      </c>
      <c r="B884" s="2860"/>
      <c r="C884" s="2860"/>
      <c r="D884" s="2860"/>
      <c r="E884" s="2860"/>
      <c r="F884" s="2860"/>
      <c r="G884" s="2860"/>
      <c r="H884" s="2860"/>
      <c r="I884" s="2860"/>
      <c r="J884" s="2860"/>
      <c r="K884" s="2860"/>
      <c r="L884" s="2860"/>
      <c r="M884" s="2860"/>
      <c r="N884" s="2860"/>
      <c r="O884" s="2860"/>
      <c r="P884" s="2860"/>
      <c r="Q884" s="2860"/>
    </row>
    <row r="885" spans="1:17" ht="14">
      <c r="A885" s="2106"/>
      <c r="B885" s="2865" t="s">
        <v>1730</v>
      </c>
      <c r="C885" s="2866"/>
      <c r="D885" s="2867"/>
      <c r="E885" s="2867"/>
      <c r="F885" s="2867"/>
      <c r="G885" s="2867"/>
      <c r="H885" s="2867"/>
      <c r="I885" s="2867"/>
      <c r="J885" s="2867"/>
      <c r="K885" s="2867"/>
      <c r="L885" s="2867"/>
      <c r="M885" s="2867"/>
      <c r="N885" s="2867"/>
      <c r="O885" s="2867"/>
      <c r="P885" s="2867"/>
      <c r="Q885" s="2106"/>
    </row>
    <row r="886" spans="1:17" ht="14">
      <c r="A886" s="2860"/>
      <c r="B886" s="2860"/>
      <c r="C886" s="2860"/>
      <c r="D886" s="2860"/>
      <c r="E886" s="2860"/>
      <c r="F886" s="2860"/>
      <c r="G886" s="2860"/>
      <c r="H886" s="2860"/>
      <c r="I886" s="2860"/>
      <c r="J886" s="2860"/>
      <c r="K886" s="2860"/>
      <c r="L886" s="2860"/>
      <c r="M886" s="2860"/>
      <c r="N886" s="2860"/>
      <c r="O886" s="2860"/>
      <c r="P886" s="2860"/>
      <c r="Q886" s="2860"/>
    </row>
    <row r="887" spans="1:17" ht="14">
      <c r="A887" s="2106"/>
      <c r="B887" s="2108"/>
      <c r="C887" s="2867"/>
      <c r="D887" s="2867"/>
      <c r="E887" s="2867"/>
      <c r="F887" s="2867"/>
      <c r="G887" s="2867"/>
      <c r="H887" s="2867"/>
      <c r="I887" s="2867"/>
      <c r="J887" s="2867"/>
      <c r="K887" s="2867"/>
      <c r="L887" s="2867"/>
      <c r="M887" s="2867"/>
      <c r="N887" s="2867"/>
      <c r="O887" s="2867"/>
      <c r="P887" s="2867"/>
      <c r="Q887" s="2109"/>
    </row>
    <row r="888" spans="1:17" ht="14">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4">
      <c r="A890" s="2863"/>
      <c r="B890" s="2106" t="s">
        <v>6995</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
      <c r="A891" s="2106"/>
      <c r="B891" s="2868" t="s">
        <v>3239</v>
      </c>
      <c r="C891" s="2106"/>
      <c r="D891" s="2868"/>
      <c r="E891" s="2868"/>
      <c r="F891" s="2868"/>
      <c r="G891" s="2868"/>
      <c r="H891" s="2107"/>
      <c r="I891" s="2108"/>
      <c r="J891" s="2108"/>
      <c r="K891" s="2106"/>
      <c r="L891" s="2106"/>
      <c r="M891" s="2106"/>
      <c r="N891" s="2106"/>
      <c r="O891" s="2106"/>
      <c r="P891" s="2106"/>
      <c r="Q891" s="2106"/>
    </row>
    <row r="892" spans="1:17" ht="135">
      <c r="A892" s="2860" t="str">
        <f>'Part VII-Threshold Criteria'!A41</f>
        <v>Development site is unoccupied.  Proposed project would target families.</v>
      </c>
      <c r="B892" s="2860"/>
      <c r="C892" s="2860"/>
      <c r="D892" s="2860"/>
      <c r="E892" s="2860"/>
      <c r="F892" s="2860"/>
      <c r="G892" s="2860"/>
      <c r="H892" s="2860"/>
      <c r="I892" s="2860"/>
      <c r="J892" s="2860"/>
      <c r="K892" s="2860"/>
      <c r="L892" s="2860"/>
      <c r="M892" s="2860"/>
      <c r="N892" s="2860"/>
      <c r="O892" s="2860"/>
      <c r="P892" s="2860"/>
      <c r="Q892" s="2860"/>
    </row>
    <row r="893" spans="1:17" ht="14">
      <c r="A893" s="2109"/>
      <c r="B893" s="2865" t="s">
        <v>1730</v>
      </c>
      <c r="C893" s="2109"/>
      <c r="D893" s="2109"/>
      <c r="E893" s="2109"/>
      <c r="F893" s="2109"/>
      <c r="G893" s="2109"/>
      <c r="H893" s="2109"/>
      <c r="I893" s="2867"/>
      <c r="J893" s="2867"/>
      <c r="K893" s="2867"/>
      <c r="L893" s="2867"/>
      <c r="M893" s="2867"/>
      <c r="N893" s="2867"/>
      <c r="O893" s="2867"/>
      <c r="P893" s="2867"/>
      <c r="Q893" s="2109"/>
    </row>
    <row r="894" spans="1:17" ht="14">
      <c r="A894" s="2860"/>
      <c r="B894" s="2860"/>
      <c r="C894" s="2860"/>
      <c r="D894" s="2860"/>
      <c r="E894" s="2860"/>
      <c r="F894" s="2860"/>
      <c r="G894" s="2860"/>
      <c r="H894" s="2860"/>
      <c r="I894" s="2860"/>
      <c r="J894" s="2860"/>
      <c r="K894" s="2860"/>
      <c r="L894" s="2860"/>
      <c r="M894" s="2860"/>
      <c r="N894" s="2860"/>
      <c r="O894" s="2860"/>
      <c r="P894" s="2860"/>
      <c r="Q894" s="2860"/>
    </row>
    <row r="895" spans="1:17" ht="14">
      <c r="A895" s="2109"/>
      <c r="B895" s="2867"/>
      <c r="C895" s="2867"/>
      <c r="D895" s="2867"/>
      <c r="E895" s="2867"/>
      <c r="F895" s="2867"/>
      <c r="G895" s="2867"/>
      <c r="H895" s="2867"/>
      <c r="I895" s="2867"/>
      <c r="J895" s="2867"/>
      <c r="K895" s="2867"/>
      <c r="L895" s="2867"/>
      <c r="M895" s="2867"/>
      <c r="N895" s="2867"/>
      <c r="O895" s="2867"/>
      <c r="P895" s="2867"/>
      <c r="Q895" s="2109"/>
    </row>
    <row r="896" spans="1:17" ht="14">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
      <c r="A898" s="2871"/>
      <c r="B898" s="2107" t="s">
        <v>6996</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6">
      <c r="A900" s="2860" t="str">
        <f>'Part VII-Threshold Criteria'!A49</f>
        <v>Development will provide residents with at least four services from three DCA-approved categories.  Currently, these services are anticipated to be Semi-Monthly Birthday Parties or Parties/Potluck Dinners (1-Social and Recreational Programs); Budgeting Classes (2 - On-Site Enrichment Classes); Arts and Crafts (2 - On-Site Enrichment Classes); and Healthy Cooking Classes (3 - On-Site Health Classes).</v>
      </c>
      <c r="B900" s="2860"/>
      <c r="C900" s="2860"/>
      <c r="D900" s="2860"/>
      <c r="E900" s="2860"/>
      <c r="F900" s="2860"/>
      <c r="G900" s="2860"/>
      <c r="H900" s="2860"/>
      <c r="I900" s="2860"/>
      <c r="J900" s="2860"/>
      <c r="K900" s="2860"/>
      <c r="L900" s="2860"/>
      <c r="M900" s="2860"/>
      <c r="N900" s="2860"/>
      <c r="O900" s="2860"/>
      <c r="P900" s="2860"/>
      <c r="Q900" s="2860"/>
    </row>
    <row r="901" spans="1:17" ht="14">
      <c r="A901" s="2109"/>
      <c r="B901" s="2108"/>
      <c r="C901" s="2867"/>
      <c r="D901" s="2867"/>
      <c r="E901" s="2867"/>
      <c r="F901" s="2867"/>
      <c r="G901" s="2867"/>
      <c r="H901" s="2867"/>
      <c r="I901" s="2867"/>
      <c r="J901" s="2867"/>
      <c r="K901" s="2867"/>
      <c r="L901" s="2867"/>
      <c r="M901" s="2867"/>
      <c r="N901" s="2867"/>
      <c r="O901" s="2867"/>
      <c r="P901" s="2867"/>
      <c r="Q901" s="2109"/>
    </row>
    <row r="902" spans="1:17" ht="14">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Real Property Research Group</v>
      </c>
      <c r="J904" s="2862"/>
      <c r="K904" s="2862"/>
      <c r="L904" s="2862"/>
      <c r="M904" s="2862"/>
      <c r="N904" s="2862"/>
      <c r="O904" s="2862"/>
      <c r="P904" s="2862"/>
      <c r="Q904" s="2862"/>
    </row>
    <row r="905" spans="1:17" ht="14">
      <c r="A905" s="2871"/>
      <c r="B905" s="2106" t="s">
        <v>6776</v>
      </c>
      <c r="C905" s="2106"/>
      <c r="D905" s="2860"/>
      <c r="E905" s="2860"/>
      <c r="F905" s="2860"/>
      <c r="G905" s="2106"/>
      <c r="H905" s="2106"/>
      <c r="I905" s="2860">
        <f>'Part VII-Threshold Criteria'!I54</f>
        <v>0.97</v>
      </c>
      <c r="J905" s="2860"/>
      <c r="K905" s="2860"/>
      <c r="L905" s="2873"/>
      <c r="M905" s="2874"/>
      <c r="N905" s="2874"/>
      <c r="O905" s="2874"/>
      <c r="P905" s="2874"/>
      <c r="Q905" s="2109"/>
    </row>
    <row r="906" spans="1:17" ht="14">
      <c r="A906" s="2871"/>
      <c r="B906" s="2106" t="s">
        <v>6777</v>
      </c>
      <c r="C906" s="2106"/>
      <c r="D906" s="2860"/>
      <c r="E906" s="2860"/>
      <c r="F906" s="2860"/>
      <c r="G906" s="2106"/>
      <c r="H906" s="2873" t="s">
        <v>6778</v>
      </c>
      <c r="I906" s="2860">
        <f>'Part VII-Threshold Criteria'!I55</f>
        <v>1.0999999999999999E-2</v>
      </c>
      <c r="J906" s="2860"/>
      <c r="K906" s="2860"/>
      <c r="L906" s="2874"/>
      <c r="M906" s="2875" t="s">
        <v>6779</v>
      </c>
      <c r="N906" s="2860">
        <f>'Part VII-Threshold Criteria'!N55</f>
        <v>3.0000000000000001E-3</v>
      </c>
      <c r="O906" s="2860"/>
      <c r="P906" s="2106"/>
      <c r="Q906" s="2106"/>
    </row>
    <row r="907" spans="1:17" ht="14">
      <c r="A907" s="2106"/>
      <c r="B907" s="2868" t="s">
        <v>3239</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Occupancies for both the market rate units and affordable units were found to be low.  Underwritten rents (both affordable and market rate) were found to have a minimum 10% or greater advantage to average market rents.  Overall occupancy in the market is high with significant demand for additional multi-family housing.</v>
      </c>
      <c r="B908" s="2860"/>
      <c r="C908" s="2860"/>
      <c r="D908" s="2860"/>
      <c r="E908" s="2860"/>
      <c r="F908" s="2860"/>
      <c r="G908" s="2860"/>
      <c r="H908" s="2860"/>
      <c r="I908" s="2860"/>
      <c r="J908" s="2860"/>
      <c r="K908" s="2860"/>
      <c r="L908" s="2860"/>
      <c r="M908" s="2860"/>
      <c r="N908" s="2860"/>
      <c r="O908" s="2860"/>
      <c r="P908" s="2860"/>
      <c r="Q908" s="2860"/>
    </row>
    <row r="909" spans="1:17" ht="14">
      <c r="A909" s="2106"/>
      <c r="B909" s="2865" t="s">
        <v>1730</v>
      </c>
      <c r="C909" s="2866"/>
      <c r="D909" s="2867"/>
      <c r="E909" s="2867"/>
      <c r="F909" s="2867"/>
      <c r="G909" s="2867"/>
      <c r="H909" s="2867"/>
      <c r="I909" s="2867"/>
      <c r="J909" s="2867"/>
      <c r="K909" s="2867"/>
      <c r="L909" s="2867"/>
      <c r="M909" s="2867"/>
      <c r="N909" s="2867"/>
      <c r="O909" s="2867"/>
      <c r="P909" s="2867"/>
      <c r="Q909" s="2867"/>
    </row>
    <row r="910" spans="1:17" ht="14">
      <c r="A910" s="2860"/>
      <c r="B910" s="2860"/>
      <c r="C910" s="2860"/>
      <c r="D910" s="2860"/>
      <c r="E910" s="2860"/>
      <c r="F910" s="2860"/>
      <c r="G910" s="2860"/>
      <c r="H910" s="2860"/>
      <c r="I910" s="2860"/>
      <c r="J910" s="2860"/>
      <c r="K910" s="2860"/>
      <c r="L910" s="2860"/>
      <c r="M910" s="2860"/>
      <c r="N910" s="2860"/>
      <c r="O910" s="2860"/>
      <c r="P910" s="2860"/>
      <c r="Q910" s="2860"/>
    </row>
    <row r="911" spans="1:17" ht="14">
      <c r="A911" s="2867"/>
      <c r="B911" s="2867"/>
      <c r="C911" s="2867"/>
      <c r="D911" s="2867"/>
      <c r="E911" s="2867"/>
      <c r="F911" s="2867"/>
      <c r="G911" s="2867"/>
      <c r="H911" s="2867"/>
      <c r="I911" s="2867"/>
      <c r="J911" s="2867"/>
      <c r="K911" s="2867"/>
      <c r="L911" s="2867"/>
      <c r="M911" s="2867"/>
      <c r="N911" s="2867"/>
      <c r="O911" s="2867"/>
      <c r="P911" s="2867"/>
      <c r="Q911" s="2867"/>
    </row>
    <row r="912" spans="1:17" ht="14">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4">
      <c r="A914" s="2871"/>
      <c r="B914" s="2106" t="s">
        <v>6780</v>
      </c>
      <c r="C914" s="2106"/>
      <c r="D914" s="2106"/>
      <c r="E914" s="2106"/>
      <c r="F914" s="2106"/>
      <c r="G914" s="2106"/>
      <c r="H914" s="2106"/>
      <c r="I914" s="2860"/>
      <c r="J914" s="2860">
        <f>'Part VII-Threshold Criteria'!J63</f>
        <v>0</v>
      </c>
      <c r="K914" s="2860"/>
      <c r="L914" s="2860"/>
      <c r="M914" s="2860"/>
      <c r="N914" s="2860"/>
      <c r="O914" s="2860"/>
      <c r="P914" s="2860"/>
      <c r="Q914" s="2860"/>
    </row>
    <row r="915" spans="1:17" ht="14">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f>'Part VII-Threshold Criteria'!P66</f>
        <v>0</v>
      </c>
      <c r="Q917" s="2109"/>
    </row>
    <row r="918" spans="1:17" ht="14">
      <c r="A918" s="2106"/>
      <c r="B918" s="2868" t="s">
        <v>6773</v>
      </c>
      <c r="C918" s="2106"/>
      <c r="D918" s="2868"/>
      <c r="E918" s="2868"/>
      <c r="F918" s="2868"/>
      <c r="G918" s="2868"/>
      <c r="H918" s="2107"/>
      <c r="I918" s="2108"/>
      <c r="J918" s="2108"/>
      <c r="K918" s="2108"/>
      <c r="L918" s="2109"/>
      <c r="M918" s="2109"/>
      <c r="N918" s="2109"/>
      <c r="O918" s="2109"/>
      <c r="P918" s="2109"/>
      <c r="Q918" s="2109"/>
    </row>
    <row r="919" spans="1:17" ht="165">
      <c r="A919" s="2860" t="str">
        <f>'Part VII-Threshold Criteria'!A68</f>
        <v>Not applicable as there is not an identify of interest between the Applicant and the Seller.</v>
      </c>
      <c r="B919" s="2860"/>
      <c r="C919" s="2860"/>
      <c r="D919" s="2860"/>
      <c r="E919" s="2860"/>
      <c r="F919" s="2860"/>
      <c r="G919" s="2860"/>
      <c r="H919" s="2860"/>
      <c r="I919" s="2860"/>
      <c r="J919" s="2860"/>
      <c r="K919" s="2860"/>
      <c r="L919" s="2860"/>
      <c r="M919" s="2860"/>
      <c r="N919" s="2860"/>
      <c r="O919" s="2860"/>
      <c r="P919" s="2860"/>
      <c r="Q919" s="2860"/>
    </row>
    <row r="920" spans="1:17" ht="14">
      <c r="A920" s="2106"/>
      <c r="B920" s="2865" t="s">
        <v>1730</v>
      </c>
      <c r="C920" s="2866"/>
      <c r="D920" s="2867"/>
      <c r="E920" s="2867"/>
      <c r="F920" s="2867"/>
      <c r="G920" s="2867"/>
      <c r="H920" s="2867"/>
      <c r="I920" s="2867"/>
      <c r="J920" s="2867"/>
      <c r="K920" s="2867"/>
      <c r="L920" s="2867"/>
      <c r="M920" s="2867"/>
      <c r="N920" s="2867"/>
      <c r="O920" s="2867"/>
      <c r="P920" s="2867"/>
      <c r="Q920" s="2867"/>
    </row>
    <row r="921" spans="1:17" ht="14">
      <c r="A921" s="2860"/>
      <c r="B921" s="2860"/>
      <c r="C921" s="2860"/>
      <c r="D921" s="2860"/>
      <c r="E921" s="2860"/>
      <c r="F921" s="2860"/>
      <c r="G921" s="2860"/>
      <c r="H921" s="2860"/>
      <c r="I921" s="2860"/>
      <c r="J921" s="2860"/>
      <c r="K921" s="2860"/>
      <c r="L921" s="2860"/>
      <c r="M921" s="2860"/>
      <c r="N921" s="2860"/>
      <c r="O921" s="2860"/>
      <c r="P921" s="2860"/>
      <c r="Q921" s="2860"/>
    </row>
    <row r="922" spans="1:17" ht="14">
      <c r="A922" s="2106"/>
      <c r="B922" s="2106"/>
      <c r="C922" s="2106"/>
      <c r="D922" s="2106"/>
      <c r="E922" s="2106"/>
      <c r="F922" s="2106"/>
      <c r="G922" s="2106"/>
      <c r="H922" s="2106"/>
      <c r="I922" s="2106"/>
      <c r="J922" s="2106"/>
      <c r="K922" s="2106"/>
      <c r="L922" s="2106"/>
      <c r="M922" s="2106"/>
      <c r="N922" s="2106"/>
      <c r="O922" s="2106"/>
      <c r="P922" s="2106"/>
      <c r="Q922" s="2106"/>
    </row>
    <row r="923" spans="1:17" ht="14">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Terrracon</v>
      </c>
      <c r="M925" s="2876"/>
      <c r="N925" s="2876"/>
      <c r="O925" s="2876"/>
      <c r="P925" s="2876"/>
      <c r="Q925" s="2876"/>
    </row>
    <row r="926" spans="1:17" ht="14">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4">
      <c r="A927" s="2871"/>
      <c r="B927" s="2106" t="s">
        <v>6630</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4">
      <c r="A928" s="2871"/>
      <c r="B928" s="2106" t="s">
        <v>6785</v>
      </c>
      <c r="C928" s="2106"/>
      <c r="D928" s="2860"/>
      <c r="E928" s="2860"/>
      <c r="F928" s="2860"/>
      <c r="G928" s="2860"/>
      <c r="H928" s="2860"/>
      <c r="I928" s="2106"/>
      <c r="J928" s="2106"/>
      <c r="K928" s="2860"/>
      <c r="L928" s="2867"/>
      <c r="M928" s="2867"/>
      <c r="N928" s="2867"/>
      <c r="O928" s="2873"/>
      <c r="P928" s="2106"/>
      <c r="Q928" s="2106"/>
    </row>
    <row r="929" spans="1:17" ht="14">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4">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4">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4">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6997</v>
      </c>
      <c r="C933" s="2860"/>
      <c r="D933" s="2860"/>
      <c r="E933" s="2860"/>
      <c r="F933" s="2860"/>
      <c r="G933" s="2860"/>
      <c r="H933" s="2860"/>
      <c r="I933" s="2860"/>
      <c r="J933" s="2860"/>
      <c r="K933" s="2860"/>
      <c r="L933" s="2860"/>
      <c r="M933" s="2860"/>
      <c r="N933" s="2860"/>
      <c r="O933" s="2860"/>
      <c r="P933" s="2860"/>
      <c r="Q933" s="2860"/>
    </row>
    <row r="934" spans="1:17" ht="45">
      <c r="A934" s="2106"/>
      <c r="B934" s="2860" t="str">
        <f>'Part VII-Threshold Criteria'!B83</f>
        <v>Not applicable.</v>
      </c>
      <c r="C934" s="2860"/>
      <c r="D934" s="2860"/>
      <c r="E934" s="2860"/>
      <c r="F934" s="2860"/>
      <c r="G934" s="2860"/>
      <c r="H934" s="2860"/>
      <c r="I934" s="2860"/>
      <c r="J934" s="2860"/>
      <c r="K934" s="2860"/>
      <c r="L934" s="2860"/>
      <c r="M934" s="2860"/>
      <c r="N934" s="2860"/>
      <c r="O934" s="2860"/>
      <c r="P934" s="2860"/>
      <c r="Q934" s="2860"/>
    </row>
    <row r="935" spans="1:17" ht="14">
      <c r="A935" s="2106"/>
      <c r="B935" s="2868" t="s">
        <v>3239</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Terracon conducted a Phase 1 and Phase 2 site assessment of the development site in accordance with DCA standards.  It did not identify the presence of wetlands or 100-year floodplains on the property.  The Phase 2 identified trace amounts of groundwater chemicals that were within acceptable levels.  The noise assessment did not identify any noise impacts.  Asbestos was identified in the abandoned structure on site and appropriate disposal procedures will be used during demolition.  The site will not impact state waters, 100-year floodplain, endangered species, radon gas, lead, mold/fundi, vapor intrusion, PCB's, or historic resources.  The development will not use HOME funds.</v>
      </c>
      <c r="B936" s="2860"/>
      <c r="C936" s="2860"/>
      <c r="D936" s="2860"/>
      <c r="E936" s="2860"/>
      <c r="F936" s="2860"/>
      <c r="G936" s="2860"/>
      <c r="H936" s="2860"/>
      <c r="I936" s="2860"/>
      <c r="J936" s="2860"/>
      <c r="K936" s="2860"/>
      <c r="L936" s="2860"/>
      <c r="M936" s="2860"/>
      <c r="N936" s="2860"/>
      <c r="O936" s="2860"/>
      <c r="P936" s="2860"/>
      <c r="Q936" s="2860"/>
    </row>
    <row r="937" spans="1:17" ht="14">
      <c r="A937" s="2106"/>
      <c r="B937" s="2865" t="s">
        <v>1730</v>
      </c>
      <c r="C937" s="2866"/>
      <c r="D937" s="2867"/>
      <c r="E937" s="2867"/>
      <c r="F937" s="2867"/>
      <c r="G937" s="2867"/>
      <c r="H937" s="2867"/>
      <c r="I937" s="2867"/>
      <c r="J937" s="2867"/>
      <c r="K937" s="2867"/>
      <c r="L937" s="2867"/>
      <c r="M937" s="2867"/>
      <c r="N937" s="2867"/>
      <c r="O937" s="2867"/>
      <c r="P937" s="2867"/>
      <c r="Q937" s="2867"/>
    </row>
    <row r="938" spans="1:17" ht="14">
      <c r="A938" s="2860"/>
      <c r="B938" s="2860"/>
      <c r="C938" s="2860"/>
      <c r="D938" s="2860"/>
      <c r="E938" s="2860"/>
      <c r="F938" s="2860"/>
      <c r="G938" s="2860"/>
      <c r="H938" s="2860"/>
      <c r="I938" s="2860"/>
      <c r="J938" s="2860"/>
      <c r="K938" s="2860"/>
      <c r="L938" s="2860"/>
      <c r="M938" s="2860"/>
      <c r="N938" s="2860"/>
      <c r="O938" s="2860"/>
      <c r="P938" s="2860"/>
      <c r="Q938" s="2860"/>
    </row>
    <row r="939" spans="1:17" ht="14">
      <c r="A939" s="2109"/>
      <c r="B939" s="2108"/>
      <c r="C939" s="2867"/>
      <c r="D939" s="2867"/>
      <c r="E939" s="2867"/>
      <c r="F939" s="2867"/>
      <c r="G939" s="2867"/>
      <c r="H939" s="2867"/>
      <c r="I939" s="2867"/>
      <c r="J939" s="2867"/>
      <c r="K939" s="2867"/>
      <c r="L939" s="2867"/>
      <c r="M939" s="2867"/>
      <c r="N939" s="2867"/>
      <c r="O939" s="2867"/>
      <c r="P939" s="2867"/>
      <c r="Q939" s="2109"/>
    </row>
    <row r="940" spans="1:17" ht="14">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75">
      <c r="A943" s="2871"/>
      <c r="B943" s="2106" t="s">
        <v>636</v>
      </c>
      <c r="C943" s="2106"/>
      <c r="D943" s="2106"/>
      <c r="E943" s="2106"/>
      <c r="F943" s="2106"/>
      <c r="G943" s="2860" t="str">
        <f>'Part VII-Threshold Criteria'!G92</f>
        <v>Fairhaven on Campbellton MM, LLC</v>
      </c>
      <c r="H943" s="2860"/>
      <c r="I943" s="2860"/>
      <c r="J943" s="2860"/>
      <c r="K943" s="2860"/>
      <c r="L943" s="2860"/>
      <c r="M943" s="2860"/>
      <c r="N943" s="2860"/>
      <c r="O943" s="2860"/>
      <c r="P943" s="2860"/>
      <c r="Q943" s="2860"/>
    </row>
    <row r="944" spans="1:17" ht="14">
      <c r="A944" s="2106"/>
      <c r="B944" s="2868" t="s">
        <v>3239</v>
      </c>
      <c r="C944" s="2106"/>
      <c r="D944" s="2868"/>
      <c r="E944" s="2868"/>
      <c r="F944" s="2868"/>
      <c r="G944" s="2868"/>
      <c r="H944" s="2107"/>
      <c r="I944" s="2108"/>
      <c r="J944" s="2108"/>
      <c r="K944" s="2108"/>
      <c r="L944" s="2109"/>
      <c r="M944" s="2109"/>
      <c r="N944" s="2109"/>
      <c r="O944" s="2109"/>
      <c r="P944" s="2109"/>
      <c r="Q944" s="2109"/>
    </row>
    <row r="945" spans="1:17" ht="328">
      <c r="A945" s="2860" t="str">
        <f>'Part VII-Threshold Criteria'!A94</f>
        <v xml:space="preserve">The General Partner (Fairhaven on Campbellton MM, LLC) holds a valid purchase contract on the development site with site control provided beyond December 31, 2023.  </v>
      </c>
      <c r="B945" s="2860"/>
      <c r="C945" s="2860"/>
      <c r="D945" s="2860"/>
      <c r="E945" s="2860"/>
      <c r="F945" s="2860"/>
      <c r="G945" s="2860"/>
      <c r="H945" s="2860"/>
      <c r="I945" s="2860"/>
      <c r="J945" s="2860"/>
      <c r="K945" s="2860"/>
      <c r="L945" s="2860"/>
      <c r="M945" s="2860"/>
      <c r="N945" s="2860"/>
      <c r="O945" s="2860"/>
      <c r="P945" s="2860"/>
      <c r="Q945" s="2860"/>
    </row>
    <row r="946" spans="1:17" ht="14">
      <c r="A946" s="2106"/>
      <c r="B946" s="2865" t="s">
        <v>1730</v>
      </c>
      <c r="C946" s="2866"/>
      <c r="D946" s="2867"/>
      <c r="E946" s="2867"/>
      <c r="F946" s="2867"/>
      <c r="G946" s="2867"/>
      <c r="H946" s="2867"/>
      <c r="I946" s="2867"/>
      <c r="J946" s="2867"/>
      <c r="K946" s="2867"/>
      <c r="L946" s="2867"/>
      <c r="M946" s="2867"/>
      <c r="N946" s="2867"/>
      <c r="O946" s="2867"/>
      <c r="P946" s="2867"/>
      <c r="Q946" s="2867"/>
    </row>
    <row r="947" spans="1:17" ht="14">
      <c r="A947" s="2860"/>
      <c r="B947" s="2860"/>
      <c r="C947" s="2860"/>
      <c r="D947" s="2860"/>
      <c r="E947" s="2860"/>
      <c r="F947" s="2860"/>
      <c r="G947" s="2860"/>
      <c r="H947" s="2860"/>
      <c r="I947" s="2860"/>
      <c r="J947" s="2860"/>
      <c r="K947" s="2860"/>
      <c r="L947" s="2860"/>
      <c r="M947" s="2860"/>
      <c r="N947" s="2860"/>
      <c r="O947" s="2860"/>
      <c r="P947" s="2860"/>
      <c r="Q947" s="2860"/>
    </row>
    <row r="948" spans="1:17" ht="14">
      <c r="A948" s="2109"/>
      <c r="B948" s="2108"/>
      <c r="C948" s="2867"/>
      <c r="D948" s="2867"/>
      <c r="E948" s="2867"/>
      <c r="F948" s="2867"/>
      <c r="G948" s="2867"/>
      <c r="H948" s="2867"/>
      <c r="I948" s="2867"/>
      <c r="J948" s="2867"/>
      <c r="K948" s="2867"/>
      <c r="L948" s="2867"/>
      <c r="M948" s="2867"/>
      <c r="N948" s="2106"/>
      <c r="O948" s="2106"/>
      <c r="P948" s="2106"/>
      <c r="Q948" s="2109"/>
    </row>
    <row r="949" spans="1:17" ht="14">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
      <c r="A951" s="2106"/>
      <c r="B951" s="2868" t="s">
        <v>3239</v>
      </c>
      <c r="C951" s="2106"/>
      <c r="D951" s="2868"/>
      <c r="E951" s="2868"/>
      <c r="F951" s="2868"/>
      <c r="G951" s="2868"/>
      <c r="H951" s="2107"/>
      <c r="I951" s="2108"/>
      <c r="J951" s="2108"/>
      <c r="K951" s="2108"/>
      <c r="L951" s="2109"/>
      <c r="M951" s="2109"/>
      <c r="N951" s="2109"/>
      <c r="O951" s="2109"/>
      <c r="P951" s="2109"/>
      <c r="Q951" s="2109"/>
    </row>
    <row r="952" spans="1:17" ht="270">
      <c r="A952" s="2860" t="str">
        <f>'Part VII-Threshold Criteria'!A101</f>
        <v>Development site is accessible by two existing public roads: Dodson Drive and Campbellton Road.  Site access will be off of Campbellton Road.</v>
      </c>
      <c r="B952" s="2860"/>
      <c r="C952" s="2860"/>
      <c r="D952" s="2860"/>
      <c r="E952" s="2860"/>
      <c r="F952" s="2860"/>
      <c r="G952" s="2860"/>
      <c r="H952" s="2860"/>
      <c r="I952" s="2860"/>
      <c r="J952" s="2860"/>
      <c r="K952" s="2860"/>
      <c r="L952" s="2860"/>
      <c r="M952" s="2860"/>
      <c r="N952" s="2860"/>
      <c r="O952" s="2860"/>
      <c r="P952" s="2860"/>
      <c r="Q952" s="2860"/>
    </row>
    <row r="953" spans="1:17" ht="14">
      <c r="A953" s="2106"/>
      <c r="B953" s="2865" t="s">
        <v>1730</v>
      </c>
      <c r="C953" s="2866"/>
      <c r="D953" s="2867"/>
      <c r="E953" s="2867"/>
      <c r="F953" s="2867"/>
      <c r="G953" s="2867"/>
      <c r="H953" s="2867"/>
      <c r="I953" s="2867"/>
      <c r="J953" s="2867"/>
      <c r="K953" s="2867"/>
      <c r="L953" s="2867"/>
      <c r="M953" s="2867"/>
      <c r="N953" s="2867"/>
      <c r="O953" s="2867"/>
      <c r="P953" s="2867"/>
      <c r="Q953" s="2867"/>
    </row>
    <row r="954" spans="1:17" ht="14">
      <c r="A954" s="2860"/>
      <c r="B954" s="2860"/>
      <c r="C954" s="2860"/>
      <c r="D954" s="2860"/>
      <c r="E954" s="2860"/>
      <c r="F954" s="2860"/>
      <c r="G954" s="2860"/>
      <c r="H954" s="2860"/>
      <c r="I954" s="2860"/>
      <c r="J954" s="2860"/>
      <c r="K954" s="2860"/>
      <c r="L954" s="2860"/>
      <c r="M954" s="2860"/>
      <c r="N954" s="2860"/>
      <c r="O954" s="2860"/>
      <c r="P954" s="2860"/>
      <c r="Q954" s="2860"/>
    </row>
    <row r="955" spans="1:17" ht="14">
      <c r="A955" s="2106"/>
      <c r="B955" s="2108"/>
      <c r="C955" s="2867"/>
      <c r="D955" s="2867"/>
      <c r="E955" s="2867"/>
      <c r="F955" s="2867"/>
      <c r="G955" s="2867"/>
      <c r="H955" s="2867"/>
      <c r="I955" s="2867"/>
      <c r="J955" s="2867"/>
      <c r="K955" s="2867"/>
      <c r="L955" s="2867"/>
      <c r="M955" s="2867"/>
      <c r="N955" s="2867"/>
      <c r="O955" s="2867"/>
      <c r="P955" s="2867"/>
      <c r="Q955" s="2109"/>
    </row>
    <row r="956" spans="1:17" ht="14">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
      <c r="A958" s="2106"/>
      <c r="B958" s="2868" t="s">
        <v>3239</v>
      </c>
      <c r="C958" s="2106"/>
      <c r="D958" s="2868"/>
      <c r="E958" s="2868"/>
      <c r="F958" s="2868"/>
      <c r="G958" s="2868"/>
      <c r="H958" s="2107"/>
      <c r="I958" s="2108"/>
      <c r="J958" s="2108"/>
      <c r="K958" s="2108"/>
      <c r="L958" s="2109"/>
      <c r="M958" s="2109"/>
      <c r="N958" s="2109"/>
      <c r="O958" s="2109"/>
      <c r="P958" s="2109"/>
      <c r="Q958" s="2109"/>
    </row>
    <row r="959" spans="1:17" ht="409.6">
      <c r="A959" s="2860" t="str">
        <f>'Part VII-Threshold Criteria'!A108</f>
        <v>Site is zoned MRC-2-C with a conditional zoning approval that allows up to a maximum 56 multi-family units with the proposed site plan.  Development proposes to build 47 units which would not exceed the zoned and permitted conditional uses.</v>
      </c>
      <c r="B959" s="2860"/>
      <c r="C959" s="2860"/>
      <c r="D959" s="2860"/>
      <c r="E959" s="2860"/>
      <c r="F959" s="2860"/>
      <c r="G959" s="2860"/>
      <c r="H959" s="2860"/>
      <c r="I959" s="2860"/>
      <c r="J959" s="2860"/>
      <c r="K959" s="2860"/>
      <c r="L959" s="2860"/>
      <c r="M959" s="2860"/>
      <c r="N959" s="2860"/>
      <c r="O959" s="2860"/>
      <c r="P959" s="2860"/>
      <c r="Q959" s="2860"/>
    </row>
    <row r="960" spans="1:17" ht="14">
      <c r="A960" s="2106"/>
      <c r="B960" s="2865" t="s">
        <v>1730</v>
      </c>
      <c r="C960" s="2866"/>
      <c r="D960" s="2867"/>
      <c r="E960" s="2867"/>
      <c r="F960" s="2867"/>
      <c r="G960" s="2867"/>
      <c r="H960" s="2867"/>
      <c r="I960" s="2867"/>
      <c r="J960" s="2867"/>
      <c r="K960" s="2867"/>
      <c r="L960" s="2867"/>
      <c r="M960" s="2867"/>
      <c r="N960" s="2867"/>
      <c r="O960" s="2867"/>
      <c r="P960" s="2867"/>
      <c r="Q960" s="2867"/>
    </row>
    <row r="961" spans="1:17" ht="14">
      <c r="A961" s="2860"/>
      <c r="B961" s="2860"/>
      <c r="C961" s="2860"/>
      <c r="D961" s="2860"/>
      <c r="E961" s="2860"/>
      <c r="F961" s="2860"/>
      <c r="G961" s="2860"/>
      <c r="H961" s="2860"/>
      <c r="I961" s="2860"/>
      <c r="J961" s="2860"/>
      <c r="K961" s="2860"/>
      <c r="L961" s="2860"/>
      <c r="M961" s="2860"/>
      <c r="N961" s="2860"/>
      <c r="O961" s="2860"/>
      <c r="P961" s="2860"/>
      <c r="Q961" s="2860"/>
    </row>
    <row r="962" spans="1:17" ht="14">
      <c r="A962" s="2109"/>
      <c r="B962" s="2108"/>
      <c r="C962" s="2867"/>
      <c r="D962" s="2867"/>
      <c r="E962" s="2867"/>
      <c r="F962" s="2867"/>
      <c r="G962" s="2867"/>
      <c r="H962" s="2867"/>
      <c r="I962" s="2867"/>
      <c r="J962" s="2867"/>
      <c r="K962" s="2867"/>
      <c r="L962" s="2867"/>
      <c r="M962" s="2867"/>
      <c r="N962" s="2867"/>
      <c r="O962" s="2867"/>
      <c r="P962" s="2867"/>
      <c r="Q962" s="2109"/>
    </row>
    <row r="963" spans="1:17" ht="14">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4">
      <c r="A965" s="2871"/>
      <c r="B965" s="2106" t="s">
        <v>6791</v>
      </c>
      <c r="C965" s="2106"/>
      <c r="D965" s="2106"/>
      <c r="E965" s="2106"/>
      <c r="F965" s="2106"/>
      <c r="G965" s="2106"/>
      <c r="H965" s="2106" t="s">
        <v>6792</v>
      </c>
      <c r="I965" s="2106"/>
      <c r="J965" s="2859" t="str">
        <f>'Part VII-Threshold Criteria'!J114</f>
        <v>Not Applicable</v>
      </c>
      <c r="K965" s="2859"/>
      <c r="L965" s="2859"/>
      <c r="M965" s="2859"/>
      <c r="N965" s="2859"/>
      <c r="O965" s="2859"/>
      <c r="P965" s="2859"/>
      <c r="Q965" s="2859"/>
    </row>
    <row r="966" spans="1:17" ht="14">
      <c r="A966" s="2871"/>
      <c r="B966" s="2871"/>
      <c r="C966" s="2106"/>
      <c r="D966" s="2106"/>
      <c r="E966" s="2106"/>
      <c r="F966" s="2106"/>
      <c r="G966" s="2106"/>
      <c r="H966" s="2106" t="s">
        <v>6793</v>
      </c>
      <c r="I966" s="2106"/>
      <c r="J966" s="2859" t="str">
        <f>'Part VII-Threshold Criteria'!J115</f>
        <v>Georgia Power</v>
      </c>
      <c r="K966" s="2859"/>
      <c r="L966" s="2859"/>
      <c r="M966" s="2859"/>
      <c r="N966" s="2859"/>
      <c r="O966" s="2859"/>
      <c r="P966" s="2859"/>
      <c r="Q966" s="2859"/>
    </row>
    <row r="967" spans="1:17" ht="14">
      <c r="A967" s="2871"/>
      <c r="B967" s="2868" t="s">
        <v>3239</v>
      </c>
      <c r="C967" s="2860"/>
      <c r="D967" s="2860"/>
      <c r="E967" s="2860"/>
      <c r="F967" s="2860"/>
      <c r="G967" s="2106"/>
      <c r="H967" s="2106"/>
      <c r="I967" s="2106"/>
      <c r="J967" s="2106"/>
      <c r="K967" s="2106"/>
      <c r="L967" s="2106"/>
      <c r="M967" s="2106"/>
      <c r="N967" s="2106"/>
      <c r="O967" s="2106"/>
      <c r="P967" s="2106"/>
      <c r="Q967" s="2106"/>
    </row>
    <row r="968" spans="1:17" ht="285">
      <c r="A968" s="2860" t="str">
        <f>'Part VII-Threshold Criteria'!A117</f>
        <v>Georgia Power has provided an availability and capacity confirmation letter for the proposed development site.  The development would be all electric.</v>
      </c>
      <c r="B968" s="2860"/>
      <c r="C968" s="2860"/>
      <c r="D968" s="2860"/>
      <c r="E968" s="2860"/>
      <c r="F968" s="2860"/>
      <c r="G968" s="2860"/>
      <c r="H968" s="2860"/>
      <c r="I968" s="2860"/>
      <c r="J968" s="2860"/>
      <c r="K968" s="2860"/>
      <c r="L968" s="2860"/>
      <c r="M968" s="2860"/>
      <c r="N968" s="2860"/>
      <c r="O968" s="2860"/>
      <c r="P968" s="2860"/>
      <c r="Q968" s="2860"/>
    </row>
    <row r="969" spans="1:17" ht="14">
      <c r="A969" s="2106"/>
      <c r="B969" s="2865" t="s">
        <v>1730</v>
      </c>
      <c r="C969" s="2866"/>
      <c r="D969" s="2867"/>
      <c r="E969" s="2867"/>
      <c r="F969" s="2867"/>
      <c r="G969" s="2867"/>
      <c r="H969" s="2867"/>
      <c r="I969" s="2867"/>
      <c r="J969" s="2867"/>
      <c r="K969" s="2867"/>
      <c r="L969" s="2867"/>
      <c r="M969" s="2867"/>
      <c r="N969" s="2867"/>
      <c r="O969" s="2867"/>
      <c r="P969" s="2867"/>
      <c r="Q969" s="2867"/>
    </row>
    <row r="970" spans="1:17" ht="14">
      <c r="A970" s="2860"/>
      <c r="B970" s="2860"/>
      <c r="C970" s="2860"/>
      <c r="D970" s="2860"/>
      <c r="E970" s="2860"/>
      <c r="F970" s="2860"/>
      <c r="G970" s="2860"/>
      <c r="H970" s="2860"/>
      <c r="I970" s="2860"/>
      <c r="J970" s="2860"/>
      <c r="K970" s="2860"/>
      <c r="L970" s="2860"/>
      <c r="M970" s="2860"/>
      <c r="N970" s="2860"/>
      <c r="O970" s="2860"/>
      <c r="P970" s="2860"/>
      <c r="Q970" s="2860"/>
    </row>
    <row r="971" spans="1:17" ht="14">
      <c r="A971" s="2106"/>
      <c r="B971" s="2108"/>
      <c r="C971" s="2867"/>
      <c r="D971" s="2867"/>
      <c r="E971" s="2867"/>
      <c r="F971" s="2867"/>
      <c r="G971" s="2867"/>
      <c r="H971" s="2867"/>
      <c r="I971" s="2867"/>
      <c r="J971" s="2867"/>
      <c r="K971" s="2867"/>
      <c r="L971" s="2867"/>
      <c r="M971" s="2867"/>
      <c r="N971" s="2106"/>
      <c r="O971" s="2106"/>
      <c r="P971" s="2106"/>
      <c r="Q971" s="2109"/>
    </row>
    <row r="972" spans="1:17" ht="14">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4">
      <c r="A974" s="2871"/>
      <c r="B974" s="2106" t="s">
        <v>6795</v>
      </c>
      <c r="C974" s="2106"/>
      <c r="D974" s="2106"/>
      <c r="E974" s="2106"/>
      <c r="F974" s="2106"/>
      <c r="G974" s="2106"/>
      <c r="H974" s="2106" t="s">
        <v>6796</v>
      </c>
      <c r="I974" s="2106"/>
      <c r="J974" s="2859" t="str">
        <f>'Part VII-Threshold Criteria'!J123</f>
        <v>City of Atlanta</v>
      </c>
      <c r="K974" s="2859"/>
      <c r="L974" s="2859"/>
      <c r="M974" s="2859"/>
      <c r="N974" s="2859"/>
      <c r="O974" s="2859"/>
      <c r="P974" s="2859"/>
      <c r="Q974" s="2859"/>
    </row>
    <row r="975" spans="1:17" ht="14">
      <c r="A975" s="2860"/>
      <c r="B975" s="2871"/>
      <c r="C975" s="2106"/>
      <c r="D975" s="2106"/>
      <c r="E975" s="2106"/>
      <c r="F975" s="2106"/>
      <c r="G975" s="2106"/>
      <c r="H975" s="2106" t="s">
        <v>6797</v>
      </c>
      <c r="I975" s="2106"/>
      <c r="J975" s="2859" t="str">
        <f>'Part VII-Threshold Criteria'!J124</f>
        <v>City of Atlanta</v>
      </c>
      <c r="K975" s="2859"/>
      <c r="L975" s="2859"/>
      <c r="M975" s="2859"/>
      <c r="N975" s="2859"/>
      <c r="O975" s="2859"/>
      <c r="P975" s="2859"/>
      <c r="Q975" s="2859"/>
    </row>
    <row r="976" spans="1:17" ht="14">
      <c r="A976" s="2106"/>
      <c r="B976" s="2868" t="s">
        <v>3239</v>
      </c>
      <c r="C976" s="2106"/>
      <c r="D976" s="2865"/>
      <c r="E976" s="2865"/>
      <c r="F976" s="2865"/>
      <c r="G976" s="2865"/>
      <c r="H976" s="2106"/>
      <c r="I976" s="2106"/>
      <c r="J976" s="2106"/>
      <c r="K976" s="2106"/>
      <c r="L976" s="2859"/>
      <c r="M976" s="2859"/>
      <c r="N976" s="2859"/>
      <c r="O976" s="2859"/>
      <c r="P976" s="2859"/>
      <c r="Q976" s="2859"/>
    </row>
    <row r="977" spans="1:17" ht="409.6">
      <c r="A977" s="2860" t="str">
        <f>'Part VII-Threshold Criteria'!A126</f>
        <v>City of Atlanta has confirmed water and sewer is available at the development site.  The provided utility location map indicates water and sewer lines of adequate capacity are adjacent to the development site and within public right of way.</v>
      </c>
      <c r="B977" s="2860"/>
      <c r="C977" s="2860"/>
      <c r="D977" s="2860"/>
      <c r="E977" s="2860"/>
      <c r="F977" s="2860"/>
      <c r="G977" s="2860"/>
      <c r="H977" s="2860"/>
      <c r="I977" s="2860"/>
      <c r="J977" s="2860"/>
      <c r="K977" s="2860"/>
      <c r="L977" s="2860"/>
      <c r="M977" s="2860"/>
      <c r="N977" s="2860"/>
      <c r="O977" s="2860"/>
      <c r="P977" s="2860"/>
      <c r="Q977" s="2860"/>
    </row>
    <row r="978" spans="1:17" ht="14">
      <c r="A978" s="2106"/>
      <c r="B978" s="2865" t="s">
        <v>1730</v>
      </c>
      <c r="C978" s="2866"/>
      <c r="D978" s="2867"/>
      <c r="E978" s="2867"/>
      <c r="F978" s="2867"/>
      <c r="G978" s="2867"/>
      <c r="H978" s="2867"/>
      <c r="I978" s="2867"/>
      <c r="J978" s="2867"/>
      <c r="K978" s="2867"/>
      <c r="L978" s="2867"/>
      <c r="M978" s="2867"/>
      <c r="N978" s="2867"/>
      <c r="O978" s="2867"/>
      <c r="P978" s="2867"/>
      <c r="Q978" s="2867"/>
    </row>
    <row r="979" spans="1:17" ht="14">
      <c r="A979" s="2860"/>
      <c r="B979" s="2860"/>
      <c r="C979" s="2860"/>
      <c r="D979" s="2860"/>
      <c r="E979" s="2860"/>
      <c r="F979" s="2860"/>
      <c r="G979" s="2860"/>
      <c r="H979" s="2860"/>
      <c r="I979" s="2860"/>
      <c r="J979" s="2860"/>
      <c r="K979" s="2860"/>
      <c r="L979" s="2860"/>
      <c r="M979" s="2860"/>
      <c r="N979" s="2860"/>
      <c r="O979" s="2860"/>
      <c r="P979" s="2860"/>
      <c r="Q979" s="2860"/>
    </row>
    <row r="980" spans="1:17" ht="14">
      <c r="A980" s="2109"/>
      <c r="B980" s="2108"/>
      <c r="C980" s="2867"/>
      <c r="D980" s="2867"/>
      <c r="E980" s="2867"/>
      <c r="F980" s="2867"/>
      <c r="G980" s="2867"/>
      <c r="H980" s="2867"/>
      <c r="I980" s="2867"/>
      <c r="J980" s="2867"/>
      <c r="K980" s="2867"/>
      <c r="L980" s="2867"/>
      <c r="M980" s="2867"/>
      <c r="N980" s="2106"/>
      <c r="O980" s="2106"/>
      <c r="P980" s="2106"/>
      <c r="Q980" s="2109"/>
    </row>
    <row r="981" spans="1:17" ht="14">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6998</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
      <c r="A984" s="2871" t="s">
        <v>1841</v>
      </c>
      <c r="B984" s="2106" t="s">
        <v>6999</v>
      </c>
      <c r="C984" s="2106"/>
      <c r="D984" s="2106"/>
      <c r="E984" s="2106"/>
      <c r="F984" s="2106"/>
      <c r="G984" s="2106"/>
      <c r="H984" s="2106"/>
      <c r="I984" s="2106"/>
      <c r="J984" s="2106"/>
      <c r="K984" s="2106"/>
      <c r="L984" s="2106"/>
      <c r="M984" s="2106"/>
      <c r="N984" s="2106"/>
      <c r="O984" s="2873"/>
      <c r="P984" s="2106"/>
      <c r="Q984" s="2106"/>
    </row>
    <row r="985" spans="1:17" ht="14">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4">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4">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7000</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7001</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Furnished Exercise /Fitness Center</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
      <c r="A995" s="2106"/>
      <c r="B995" s="2868" t="s">
        <v>3239</v>
      </c>
      <c r="C995" s="2106"/>
      <c r="D995" s="2868"/>
      <c r="E995" s="2868"/>
      <c r="F995" s="2868"/>
      <c r="G995" s="2868"/>
      <c r="H995" s="2107"/>
      <c r="I995" s="2108"/>
      <c r="J995" s="2108"/>
      <c r="K995" s="2108"/>
      <c r="L995" s="2109"/>
      <c r="M995" s="2109"/>
      <c r="N995" s="2109"/>
      <c r="O995" s="2109"/>
      <c r="P995" s="2106"/>
      <c r="Q995" s="2106"/>
    </row>
    <row r="996" spans="1:17" ht="195">
      <c r="A996" s="2860" t="str">
        <f>'Part VII-Threshold Criteria'!A145</f>
        <v>Development would meet or exceed DCA's required standard and additional site amenity requirements.</v>
      </c>
      <c r="B996" s="2860"/>
      <c r="C996" s="2860"/>
      <c r="D996" s="2860"/>
      <c r="E996" s="2860"/>
      <c r="F996" s="2860"/>
      <c r="G996" s="2860"/>
      <c r="H996" s="2860"/>
      <c r="I996" s="2860"/>
      <c r="J996" s="2860"/>
      <c r="K996" s="2860"/>
      <c r="L996" s="2860"/>
      <c r="M996" s="2860"/>
      <c r="N996" s="2860"/>
      <c r="O996" s="2860"/>
      <c r="P996" s="2860"/>
      <c r="Q996" s="2860"/>
    </row>
    <row r="997" spans="1:17" ht="14">
      <c r="A997" s="2106"/>
      <c r="B997" s="2865" t="s">
        <v>1730</v>
      </c>
      <c r="C997" s="2866"/>
      <c r="D997" s="2867"/>
      <c r="E997" s="2867"/>
      <c r="F997" s="2867"/>
      <c r="G997" s="2867"/>
      <c r="H997" s="2867"/>
      <c r="I997" s="2867"/>
      <c r="J997" s="2867"/>
      <c r="K997" s="2867"/>
      <c r="L997" s="2867"/>
      <c r="M997" s="2867"/>
      <c r="N997" s="2867"/>
      <c r="O997" s="2867"/>
      <c r="P997" s="2867"/>
      <c r="Q997" s="2867"/>
    </row>
    <row r="998" spans="1:17" ht="14">
      <c r="A998" s="2860"/>
      <c r="B998" s="2860"/>
      <c r="C998" s="2860"/>
      <c r="D998" s="2860"/>
      <c r="E998" s="2860"/>
      <c r="F998" s="2860"/>
      <c r="G998" s="2860"/>
      <c r="H998" s="2860"/>
      <c r="I998" s="2860"/>
      <c r="J998" s="2860"/>
      <c r="K998" s="2860"/>
      <c r="L998" s="2860"/>
      <c r="M998" s="2860"/>
      <c r="N998" s="2860"/>
      <c r="O998" s="2860"/>
      <c r="P998" s="2860"/>
      <c r="Q998" s="2860"/>
    </row>
    <row r="999" spans="1:17" ht="14">
      <c r="A999" s="2109"/>
      <c r="B999" s="2108"/>
      <c r="C999" s="2867"/>
      <c r="D999" s="2867"/>
      <c r="E999" s="2867"/>
      <c r="F999" s="2867"/>
      <c r="G999" s="2867"/>
      <c r="H999" s="2867"/>
      <c r="I999" s="2867"/>
      <c r="J999" s="2867"/>
      <c r="K999" s="2867"/>
      <c r="L999" s="2867"/>
      <c r="M999" s="2867"/>
      <c r="N999" s="2106"/>
      <c r="O999" s="2106"/>
      <c r="P999" s="2106"/>
      <c r="Q999" s="2109"/>
    </row>
    <row r="1000" spans="1:17" ht="14">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4">
      <c r="A1002" s="2106"/>
      <c r="B1002" s="2106" t="s">
        <v>6803</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4">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20">
      <c r="A1006" s="2860" t="str">
        <f>'Part VII-Threshold Criteria'!A155</f>
        <v>Not applicable as project proposes new construction.</v>
      </c>
      <c r="B1006" s="2860"/>
      <c r="C1006" s="2860"/>
      <c r="D1006" s="2860"/>
      <c r="E1006" s="2860"/>
      <c r="F1006" s="2860"/>
      <c r="G1006" s="2860"/>
      <c r="H1006" s="2860"/>
      <c r="I1006" s="2860"/>
      <c r="J1006" s="2860"/>
      <c r="K1006" s="2860"/>
      <c r="L1006" s="2860"/>
      <c r="M1006" s="2860"/>
      <c r="N1006" s="2860"/>
      <c r="O1006" s="2860"/>
      <c r="P1006" s="2860"/>
      <c r="Q1006" s="2860"/>
    </row>
    <row r="1007" spans="1:17" ht="1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4">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4">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Conceptual site plan conforms to DCA Architectural Manual submission requirements.  Location map shows entire municipality area limits and geographic coordinates for the site.  Ground-level photos are included of the development site and surrounding properties with a site photo key map, descriptions, and date taken.  Aerial photos are included with the most recent online satellite imagery from Google Earth.</v>
      </c>
      <c r="B1013" s="2860"/>
      <c r="C1013" s="2860"/>
      <c r="D1013" s="2860"/>
      <c r="E1013" s="2860"/>
      <c r="F1013" s="2860"/>
      <c r="G1013" s="2860"/>
      <c r="H1013" s="2860"/>
      <c r="I1013" s="2860"/>
      <c r="J1013" s="2860"/>
      <c r="K1013" s="2860"/>
      <c r="L1013" s="2860"/>
      <c r="M1013" s="2860"/>
      <c r="N1013" s="2860"/>
      <c r="O1013" s="2860"/>
      <c r="P1013" s="2860"/>
      <c r="Q1013" s="2860"/>
    </row>
    <row r="1014" spans="1:17" ht="1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4">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7002</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4">
      <c r="A1021" s="2871" t="s">
        <v>1843</v>
      </c>
      <c r="B1021" s="2859" t="s">
        <v>297</v>
      </c>
      <c r="C1021" s="2106"/>
      <c r="D1021" s="2106"/>
      <c r="E1021" s="2106"/>
      <c r="F1021" s="2106"/>
      <c r="G1021" s="2106"/>
      <c r="H1021" s="2859" t="str">
        <f>'Part VII-Threshold Criteria'!H170</f>
        <v>Enterprise Foundation Green Communities</v>
      </c>
      <c r="I1021" s="2859"/>
      <c r="J1021" s="2859"/>
      <c r="K1021" s="2859"/>
      <c r="L1021" s="2859"/>
      <c r="M1021" s="2859"/>
      <c r="N1021" s="2859"/>
      <c r="O1021" s="2859"/>
      <c r="P1021" s="2859"/>
      <c r="Q1021" s="2859"/>
    </row>
    <row r="1022" spans="1:17" ht="14">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4">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Preliminary scoring worksheet for Enterprise Green Communities indicates Fairhaven on Campbellton would exceed the point scoring requirement for certification.  Applicant also completed the Buidling Sustainability online training May 17, 2023.</v>
      </c>
      <c r="B1025" s="2860"/>
      <c r="C1025" s="2860"/>
      <c r="D1025" s="2860"/>
      <c r="E1025" s="2860"/>
      <c r="F1025" s="2860"/>
      <c r="G1025" s="2860"/>
      <c r="H1025" s="2860"/>
      <c r="I1025" s="2860"/>
      <c r="J1025" s="2860"/>
      <c r="K1025" s="2860"/>
      <c r="L1025" s="2860"/>
      <c r="M1025" s="2860"/>
      <c r="N1025" s="2860"/>
      <c r="O1025" s="2860"/>
      <c r="P1025" s="2860"/>
      <c r="Q1025" s="2860"/>
    </row>
    <row r="1026" spans="1:17" ht="1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4">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4">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4">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7003</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4">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4">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4">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5</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6">
      <c r="A1039" s="2860" t="str">
        <f>'Part VII-Threshold Criteria'!A188</f>
        <v>The development will be designed and constructed in full compliance with all Acceessibility and Fair Housing requirements.  A DCA-qualified consultant will retained to monitor the project for accessibility compliance throughout all stages from design to final inspection upon construction completion.</v>
      </c>
      <c r="B1039" s="2860"/>
      <c r="C1039" s="2860"/>
      <c r="D1039" s="2860"/>
      <c r="E1039" s="2860"/>
      <c r="F1039" s="2860"/>
      <c r="G1039" s="2860"/>
      <c r="H1039" s="2860"/>
      <c r="I1039" s="2860"/>
      <c r="J1039" s="2860"/>
      <c r="K1039" s="2860"/>
      <c r="L1039" s="2860"/>
      <c r="M1039" s="2860"/>
      <c r="N1039" s="2860"/>
      <c r="O1039" s="2860"/>
      <c r="P1039" s="2860"/>
      <c r="Q1039" s="2860"/>
    </row>
    <row r="1040" spans="1:17" ht="1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4">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7004</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4">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4">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4">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9.6">
      <c r="A1054" s="2860" t="str">
        <f>'Part VII-Threshold Criteria'!A203</f>
        <v>Development will consist of brick (minimum 30% exterior) and fiber cement siding on exterior.  Free high-speed Wi-Fi internet access will be provided in the community room as well as to each residential unit.  Washer/dryer hookups will be provided in each unit.</v>
      </c>
      <c r="B1054" s="2860"/>
      <c r="C1054" s="2860"/>
      <c r="D1054" s="2860"/>
      <c r="E1054" s="2860"/>
      <c r="F1054" s="2860"/>
      <c r="G1054" s="2860"/>
      <c r="H1054" s="2860"/>
      <c r="I1054" s="2860"/>
      <c r="J1054" s="2860"/>
      <c r="K1054" s="2860"/>
      <c r="L1054" s="2860"/>
      <c r="M1054" s="2860"/>
      <c r="N1054" s="2860"/>
      <c r="O1054" s="2860"/>
      <c r="P1054" s="2860"/>
      <c r="Q1054" s="2860"/>
    </row>
    <row r="1055" spans="1:17" ht="1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4">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4">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4">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4">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4">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4">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Applicant was determined "Qualified" in 2023 for Fairhaven Green, the former name of the proposed development Fairhaven on Campbellton.  There have been no changes in the Project Team since 2023 Pre-Application submission.  Applicant was also deemed Qualified in 2022-2019.</v>
      </c>
      <c r="B1067" s="2860"/>
      <c r="C1067" s="2860"/>
      <c r="D1067" s="2860"/>
      <c r="E1067" s="2860"/>
      <c r="F1067" s="2860"/>
      <c r="G1067" s="2860"/>
      <c r="H1067" s="2860"/>
      <c r="I1067" s="2860"/>
      <c r="J1067" s="2860"/>
      <c r="K1067" s="2860"/>
      <c r="L1067" s="2860"/>
      <c r="M1067" s="2860"/>
      <c r="N1067" s="2860"/>
      <c r="O1067" s="2860"/>
      <c r="P1067" s="2860"/>
      <c r="Q1067" s="2860"/>
    </row>
    <row r="1068" spans="1:17" ht="1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4">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4">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7005</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7006</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4">
      <c r="A1076" s="2871" t="s">
        <v>698</v>
      </c>
      <c r="B1076" s="2106" t="s">
        <v>7007</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7008</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35">
      <c r="A1079" s="2860" t="str">
        <f>'Part VII-Threshold Criteria'!A228</f>
        <v>Not applicable as development proposes new construction.</v>
      </c>
      <c r="B1079" s="2860"/>
      <c r="C1079" s="2860"/>
      <c r="D1079" s="2860"/>
      <c r="E1079" s="2860"/>
      <c r="F1079" s="2860"/>
      <c r="G1079" s="2860"/>
      <c r="H1079" s="2860"/>
      <c r="I1079" s="2860"/>
      <c r="J1079" s="2860"/>
      <c r="K1079" s="2860"/>
      <c r="L1079" s="2860"/>
      <c r="M1079" s="2860"/>
      <c r="N1079" s="2860"/>
      <c r="O1079" s="2860"/>
      <c r="P1079" s="2860"/>
      <c r="Q1079" s="2860"/>
    </row>
    <row r="1080" spans="1:17" ht="1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4">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4">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4">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4">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4">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4">
      <c r="A1093" s="2106"/>
      <c r="B1093" s="2873" t="s">
        <v>6832</v>
      </c>
      <c r="C1093" s="2107" t="s">
        <v>7009</v>
      </c>
      <c r="D1093" s="2106"/>
      <c r="E1093" s="2867"/>
      <c r="F1093" s="2867"/>
      <c r="G1093" s="2867"/>
      <c r="H1093" s="2867"/>
      <c r="I1093" s="2867"/>
      <c r="J1093" s="2867"/>
      <c r="K1093" s="2867"/>
      <c r="L1093" s="2867"/>
      <c r="M1093" s="2867"/>
      <c r="N1093" s="2867"/>
      <c r="O1093" s="2106"/>
      <c r="P1093" s="2106"/>
      <c r="Q1093" s="2106"/>
    </row>
    <row r="1094" spans="1:17" ht="14">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20">
      <c r="A1095" s="2860" t="str">
        <f>'Part VII-Threshold Criteria'!A244</f>
        <v>Not applicable as applicant is a for-profit developer.</v>
      </c>
      <c r="B1095" s="2860"/>
      <c r="C1095" s="2860"/>
      <c r="D1095" s="2860"/>
      <c r="E1095" s="2860"/>
      <c r="F1095" s="2860"/>
      <c r="G1095" s="2860"/>
      <c r="H1095" s="2860"/>
      <c r="I1095" s="2860"/>
      <c r="J1095" s="2860"/>
      <c r="K1095" s="2860"/>
      <c r="L1095" s="2860"/>
      <c r="M1095" s="2860"/>
      <c r="N1095" s="2860"/>
      <c r="O1095" s="2860"/>
      <c r="P1095" s="2860"/>
      <c r="Q1095" s="2860"/>
    </row>
    <row r="1096" spans="1:17" ht="1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4">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4">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4">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4">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4">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4">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4">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60">
      <c r="A1107" s="2860" t="str">
        <f>'Part VII-Threshold Criteria'!A256</f>
        <v>No legal opinions are required.</v>
      </c>
      <c r="B1107" s="2860"/>
      <c r="C1107" s="2860"/>
      <c r="D1107" s="2860"/>
      <c r="E1107" s="2860"/>
      <c r="F1107" s="2860"/>
      <c r="G1107" s="2860"/>
      <c r="H1107" s="2860"/>
      <c r="I1107" s="2860"/>
      <c r="J1107" s="2860"/>
      <c r="K1107" s="2860"/>
      <c r="L1107" s="2860"/>
      <c r="M1107" s="2860"/>
      <c r="N1107" s="2860"/>
      <c r="O1107" s="2860"/>
      <c r="P1107" s="2860"/>
      <c r="Q1107" s="2860"/>
    </row>
    <row r="1108" spans="1:17" ht="1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4">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4">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4">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4">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35">
      <c r="A1119" s="2860" t="str">
        <f>'Part VII-Threshold Criteria'!A268</f>
        <v>Not applicable as there are no occupied structures on the development site.</v>
      </c>
      <c r="B1119" s="2860"/>
      <c r="C1119" s="2860"/>
      <c r="D1119" s="2860"/>
      <c r="E1119" s="2860"/>
      <c r="F1119" s="2860"/>
      <c r="G1119" s="2860"/>
      <c r="H1119" s="2860"/>
      <c r="I1119" s="2860"/>
      <c r="J1119" s="2860"/>
      <c r="K1119" s="2860"/>
      <c r="L1119" s="2860"/>
      <c r="M1119" s="2860"/>
      <c r="N1119" s="2860"/>
      <c r="O1119" s="2860"/>
      <c r="P1119" s="2860"/>
      <c r="Q1119" s="2860"/>
    </row>
    <row r="1120" spans="1:17" ht="1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4">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4">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4">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00">
      <c r="A1137" s="2860" t="str">
        <f>'Part VII-Threshold Criteria'!A286</f>
        <v>If selected, the Applicant and its management agent will prepare an Affirmative Fair Housing Marketing Plan in conformance with all requirements.</v>
      </c>
      <c r="B1137" s="2860"/>
      <c r="C1137" s="2860"/>
      <c r="D1137" s="2860"/>
      <c r="E1137" s="2860"/>
      <c r="F1137" s="2860"/>
      <c r="G1137" s="2860"/>
      <c r="H1137" s="2860"/>
      <c r="I1137" s="2860"/>
      <c r="J1137" s="2860"/>
      <c r="K1137" s="2860"/>
      <c r="L1137" s="2860"/>
      <c r="M1137" s="2860"/>
      <c r="N1137" s="2860"/>
      <c r="O1137" s="2860"/>
      <c r="P1137" s="2860"/>
      <c r="Q1137" s="2860"/>
    </row>
    <row r="1138" spans="1:64" ht="1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4">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4">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Construction prices were determined by a licensed general contractor using current market pricing in the Atlanta market where the development site is located.  Operating expenses are appropriate for the proposed development type and size.  Equity prices were deemed reasonable for the rural market and projected investor appetite for federal and state credits.</v>
      </c>
      <c r="B1144" s="2860"/>
      <c r="C1144" s="2860"/>
      <c r="D1144" s="2860"/>
      <c r="E1144" s="2860"/>
      <c r="F1144" s="2860"/>
      <c r="G1144" s="2860"/>
      <c r="H1144" s="2860"/>
      <c r="I1144" s="2860"/>
      <c r="J1144" s="2860"/>
      <c r="K1144" s="2860"/>
      <c r="L1144" s="2860"/>
      <c r="M1144" s="2860"/>
      <c r="N1144" s="2860"/>
      <c r="O1144" s="2860"/>
      <c r="P1144" s="2860"/>
      <c r="Q1144" s="2860"/>
    </row>
    <row r="1145" spans="1:64" ht="1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4">
      <c r="A1152" s="2198" t="str">
        <f>CONCATENATE("PART EIGHT - SCORING CRITERIA","  -  ",'Part I-Project Identification'!$O$7," ",'Part I-Project Identification'!$F$25,", ",'Part I-Project Identification'!F1182,", ",'Part I-Project Identification'!J1182," County")</f>
        <v>PART EIGHT - SCORING CRITERIA  -  2023-0 Fairhaven on Campbellton,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4">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4">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4">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69.5</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4">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
      <c r="A1161" s="2909" t="s">
        <v>6135</v>
      </c>
      <c r="B1161" s="2199"/>
      <c r="C1161" s="2199"/>
      <c r="D1161" s="2199"/>
      <c r="E1161" s="2199"/>
      <c r="F1161" s="2199"/>
      <c r="G1161" s="2910"/>
      <c r="H1161" s="2199"/>
      <c r="I1161" s="2910"/>
      <c r="J1161" s="2910"/>
      <c r="K1161" s="2910"/>
      <c r="L1161" s="2910"/>
      <c r="M1161" s="2911" t="s">
        <v>7010</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4">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3393</v>
      </c>
      <c r="C1164" s="2406"/>
      <c r="D1164" s="2406"/>
      <c r="E1164" s="2914">
        <f>'Part VIII Scoring Criteria'!E13</f>
        <v>20</v>
      </c>
      <c r="F1164" s="2913" t="str">
        <f>'Part VIII Scoring Criteria'!F13</f>
        <v>Development site qualifies for 24 Desirable Activitie points.  There are two grocery stores (Kroger and Super Giant) located within 1.5 miles of the site and does not qualify for point deductions as a food desert.  One vacant building was identified south of the site but the building is secured and therefore not an undesirable nearby use.  One vacant and unsecured building is located on the development site but would be demolished as part of the proposed development.</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4037</v>
      </c>
      <c r="C1165" s="2406"/>
      <c r="D1165" s="2406"/>
      <c r="E1165" s="2916">
        <f>'Part VIII Scoring Criteria'!E14</f>
        <v>3</v>
      </c>
      <c r="F1165" s="2913" t="str">
        <f>'Part VIII Scoring Criteria'!F14</f>
        <v xml:space="preserve">Development site is located on MARTA Route 83 with two bus stops within walking distance (&lt;0.25 mile) of the pedestrian entrance/vehicle entrace to the development.  One stop is adjacent to the proposed site entrance and on the same side of Campbellton Road.  Additionally, MARTA is planning a Bus Rapid Transit route along Campbellton which would be complete after the proposed development and one transit station (Harbin Station) would be within walking distance of the site.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6">
      <c r="A1166" s="2913" t="s">
        <v>720</v>
      </c>
      <c r="B1166" s="2403" t="s">
        <v>3338</v>
      </c>
      <c r="C1166" s="2406"/>
      <c r="D1166" s="2406"/>
      <c r="E1166" s="2916">
        <f>'Part VIII Scoring Criteria'!E15</f>
        <v>1.5</v>
      </c>
      <c r="F1166" s="2913" t="str">
        <f>'Part VIII Scoring Criteria'!F15</f>
        <v>Development site is located in the attendance zone for Kimberly Elementary, Bunch High School, and Therrell High School.  Kimberly Elementary School (PK-05) and Bunche Middle School (06-08) both achieved "Beating the Odds" designation in 2018.  Therefore, Fairhaven on Campbellton qualifies for 1.5 points under Quality Education as 8 out of 12 grades score under Section B.</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6">
      <c r="A1167" s="2913" t="s">
        <v>280</v>
      </c>
      <c r="B1167" s="2403" t="s">
        <v>3394</v>
      </c>
      <c r="C1167" s="2406"/>
      <c r="D1167" s="2406"/>
      <c r="E1167" s="2916">
        <f>'Part VIII Scoring Criteria'!E16</f>
        <v>7</v>
      </c>
      <c r="F1167" s="2913" t="str">
        <f>'Part VIII Scoring Criteria'!F16</f>
        <v xml:space="preserve">Development site is located in a 2023 Qualified Census Tract.  Site is within the targeted corridor for the Campbellton Road TAD CRP (which includes housing as a goal; assesses infrastructure; designates implementation measures; and is annually re-approved by Council) as well as within the MARTA Campbellton Bus Rapid Transit System corridor with Harbin Station less than 0.25 mile west of the site, along with multiple ongoing community improvement projects funded by City of Atlanta (funding value in excess of $30,000/unit).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35">
      <c r="A1168" s="2913" t="s">
        <v>401</v>
      </c>
      <c r="B1168" s="2403" t="s">
        <v>3395</v>
      </c>
      <c r="C1168" s="2406"/>
      <c r="D1168" s="2406"/>
      <c r="E1168" s="2914" t="str">
        <f>'Part VIII Scoring Criteria'!E17</f>
        <v>n/a</v>
      </c>
      <c r="F1168" s="2913" t="str">
        <f>'Part VIII Scoring Criteria'!F17</f>
        <v>Applicant is not requesting points for Community Transformation.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Applicant is claiming points under Revitalization/Redevelopment Plan and is therefore ineligible to claim points under Stable Communities.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65">
      <c r="A1170" s="2913" t="s">
        <v>4040</v>
      </c>
      <c r="B1170" s="2403" t="s">
        <v>3261</v>
      </c>
      <c r="C1170" s="2406"/>
      <c r="D1170" s="2406"/>
      <c r="E1170" s="2914">
        <f>'Part VIII Scoring Criteria'!E19</f>
        <v>0</v>
      </c>
      <c r="F1170" s="2913" t="str">
        <f>'Part VIII Scoring Criteria'!F19</f>
        <v>Development is not part of a CNI Grant or Purpose Built Communities participant.</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50">
      <c r="A1171" s="2913" t="s">
        <v>4052</v>
      </c>
      <c r="B1171" s="2403" t="s">
        <v>4041</v>
      </c>
      <c r="C1171" s="2406"/>
      <c r="D1171" s="2406"/>
      <c r="E1171" s="2914">
        <f>'Part VIII Scoring Criteria'!E20</f>
        <v>0</v>
      </c>
      <c r="F1171" s="2913" t="str">
        <f>'Part VIII Scoring Criteria'!F20</f>
        <v>Not applicable as development is not part of a proposed phased development.</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70">
      <c r="A1172" s="2913" t="s">
        <v>6242</v>
      </c>
      <c r="B1172" s="2403" t="s">
        <v>4042</v>
      </c>
      <c r="C1172" s="2406"/>
      <c r="D1172" s="2406"/>
      <c r="E1172" s="2914">
        <f>'Part VIII Scoring Criteria'!E21</f>
        <v>3</v>
      </c>
      <c r="F1172" s="2913" t="str">
        <f>'Part VIII Scoring Criteria'!F21</f>
        <v>Development site is not located within a 1-mile radius of any previously funded 9% LIHTC developments (minimum last 6 funding rounds).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314">
      <c r="A1173" s="2913" t="s">
        <v>6636</v>
      </c>
      <c r="B1173" s="2403" t="s">
        <v>6548</v>
      </c>
      <c r="C1173" s="2406"/>
      <c r="D1173" s="2406"/>
      <c r="E1173" s="2914">
        <f>'Part VIII Scoring Criteria'!E22</f>
        <v>2</v>
      </c>
      <c r="F1173" s="2913" t="str">
        <f>'Part VIII Scoring Criteria'!F22</f>
        <v>Applicant will proide free high-speed internet that is accessible within each unit.  Internet service will meet DCA requirements (min. 25 Mbps download / 5 Mbps upload).</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6638</v>
      </c>
      <c r="B1174" s="2403" t="s">
        <v>6637</v>
      </c>
      <c r="C1174" s="2406"/>
      <c r="D1174" s="2406"/>
      <c r="E1174" s="2914">
        <f>'Part VIII Scoring Criteria'!E23</f>
        <v>2</v>
      </c>
      <c r="F1174" s="2913" t="str">
        <f>'Part VIII Scoring Criteria'!F23</f>
        <v>Applicant commits to engage Qualified Businesses in the development or operation of the property in amounts equal to 5% or more of total construction hard costs and to submit a report with the Final Allocation Application described our efforts.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70">
      <c r="A1175" s="2913" t="s">
        <v>3368</v>
      </c>
      <c r="B1175" s="2403" t="s">
        <v>6554</v>
      </c>
      <c r="C1175" s="2406"/>
      <c r="D1175" s="2406"/>
      <c r="E1175" s="2914">
        <f>'Part VIII Scoring Criteria'!E24</f>
        <v>2</v>
      </c>
      <c r="F1175" s="2913" t="str">
        <f>'Part VIII Scoring Criteria'!F24</f>
        <v>Applicant will solicit bids from a CORES-certified 3rd Party Contractor and, if the cost is supported by the operating budget, engage a CORES provider for supportive service provision at the development.</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05">
      <c r="A1176" s="2913" t="s">
        <v>3372</v>
      </c>
      <c r="B1176" s="2403" t="s">
        <v>3396</v>
      </c>
      <c r="C1176" s="2406"/>
      <c r="D1176" s="2406"/>
      <c r="E1176" s="2914">
        <f>'Part VIII Scoring Criteria'!E25</f>
        <v>0</v>
      </c>
      <c r="F1176" s="2913" t="str">
        <f>'Part VIII Scoring Criteria'!F25</f>
        <v>City of Atlanta is not a GICH Community or Alumni.</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05">
      <c r="A1177" s="2913" t="s">
        <v>3375</v>
      </c>
      <c r="B1177" s="2403" t="s">
        <v>3397</v>
      </c>
      <c r="C1177" s="2406"/>
      <c r="D1177" s="2406"/>
      <c r="E1177" s="2914">
        <f>'Part VIII Scoring Criteria'!E26</f>
        <v>0</v>
      </c>
      <c r="F1177" s="2913" t="str">
        <f>'Part VIII Scoring Criteria'!F26</f>
        <v>Applicant is not requesting points for favorable financing.</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0">
      <c r="A1178" s="2913" t="s">
        <v>3376</v>
      </c>
      <c r="B1178" s="2403" t="s">
        <v>3398</v>
      </c>
      <c r="C1178" s="2406"/>
      <c r="D1178" s="2406"/>
      <c r="E1178" s="2914">
        <f>'Part VIII Scoring Criteria'!E27</f>
        <v>0</v>
      </c>
      <c r="F1178" s="2913" t="str">
        <f>'Part VIII Scoring Criteria'!F27</f>
        <v>Applicant is not requesting points for historic preservation.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2</v>
      </c>
      <c r="F1179" s="2913" t="str">
        <f>'Part VIII Scoring Criteria'!F28</f>
        <v>Applicant does not have a PBRA commitment but will participate in the DCA 811 program.</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Not applicable to a new construction deveopment.</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90">
      <c r="A1181" s="2913" t="s">
        <v>3802</v>
      </c>
      <c r="B1181" s="2403" t="s">
        <v>6552</v>
      </c>
      <c r="C1181" s="2406"/>
      <c r="D1181" s="2406"/>
      <c r="E1181" s="2914">
        <f>'Part VIII Scoring Criteria'!E30</f>
        <v>0</v>
      </c>
      <c r="F1181" s="2913" t="str">
        <f>'Part VIII Scoring Criteria'!F30</f>
        <v>Applicant does not have a PBRA commitment.</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Not applicalbe to a new construction development.</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5" customHeight="1">
      <c r="A1183" s="2917" t="s">
        <v>6916</v>
      </c>
      <c r="B1183" s="2403" t="s">
        <v>6932</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4">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8" t="s">
        <v>6944</v>
      </c>
      <c r="B1185" s="3918"/>
      <c r="C1185" s="3918"/>
      <c r="D1185" s="3918"/>
      <c r="E1185" s="2397"/>
      <c r="F1185" s="2463" t="s">
        <v>6880</v>
      </c>
      <c r="G1185" s="2463"/>
      <c r="H1185" s="2463"/>
      <c r="I1185" s="2463"/>
      <c r="J1185" s="2198" t="s">
        <v>6139</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4">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4">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4">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4">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4">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
      <c r="A1195" s="2540"/>
      <c r="B1195" s="2919" t="s">
        <v>1846</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7011</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4">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4">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7012</v>
      </c>
      <c r="B1201" s="2463"/>
      <c r="C1201" s="2463"/>
      <c r="D1201" s="2463"/>
      <c r="E1201" s="2463"/>
      <c r="F1201" s="2312" t="s">
        <v>3178</v>
      </c>
      <c r="G1201" s="2463" t="s">
        <v>7013</v>
      </c>
      <c r="H1201" s="2463"/>
      <c r="I1201" s="2463"/>
      <c r="J1201" s="2312" t="s">
        <v>3178</v>
      </c>
      <c r="K1201" s="2923" t="s">
        <v>7014</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4">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4">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4">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4">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4">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4">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4">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4">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4">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4">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4">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4">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4">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4">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4">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4">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4">
      <c r="A1219" s="2540" t="s">
        <v>1841</v>
      </c>
      <c r="B1219" s="2929" t="s">
        <v>6876</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4">
      <c r="A1220" s="2540"/>
      <c r="B1220" s="2931"/>
      <c r="C1220" s="2613" t="s">
        <v>3812</v>
      </c>
      <c r="D1220" s="2199"/>
      <c r="E1220" s="2199"/>
      <c r="F1220" s="2199"/>
      <c r="G1220" s="2199" t="s">
        <v>3813</v>
      </c>
      <c r="H1220" s="2199"/>
      <c r="I1220" s="2199"/>
      <c r="J1220" s="2932">
        <f>'Part V-Revenues &amp; Expenses'!$B$50</f>
        <v>57.567567567567565</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4">
      <c r="A1221" s="2540"/>
      <c r="B1221" s="2931"/>
      <c r="C1221" s="2613" t="s">
        <v>3814</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4">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4">
      <c r="A1223" s="2540" t="s">
        <v>1843</v>
      </c>
      <c r="B1223" s="2929" t="s">
        <v>6879</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4">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4">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4">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4">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4">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4">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4">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Development site qualifies for 24 Desirable Activitie points.  There are two grocery stores (Kroger and Super Giant) located within 1.5 miles of the site and does not qualify for point deductions as a food desert.  One vacant building was identified south of the site but the building is secured and therefore not an undesirable nearby use.  One vacant and unsecured building is located on the development site but would be demolished as part of the proposed development.</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4">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4">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4">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
      <c r="A1240" s="2397"/>
      <c r="B1240" s="2942"/>
      <c r="C1240" s="2400" t="s">
        <v>6847</v>
      </c>
      <c r="D1240" s="2397"/>
      <c r="E1240" s="2397"/>
      <c r="F1240" s="2199">
        <f>'Part VIII Scoring Criteria'!F89</f>
        <v>33.702159999999999</v>
      </c>
      <c r="G1240" s="2199"/>
      <c r="H1240" s="2199"/>
      <c r="I1240" s="2199"/>
      <c r="J1240" s="2199">
        <f>'Part VIII Scoring Criteria'!J89</f>
        <v>-84.477459999999994</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
      <c r="A1241" s="2942"/>
      <c r="B1241" s="2406"/>
      <c r="C1241" s="2400" t="s">
        <v>6848</v>
      </c>
      <c r="D1241" s="2397"/>
      <c r="E1241" s="2397"/>
      <c r="F1241" s="2199">
        <f>'Part VIII Scoring Criteria'!F90</f>
        <v>33.702089999999998</v>
      </c>
      <c r="G1241" s="2199"/>
      <c r="H1241" s="2199"/>
      <c r="I1241" s="2199"/>
      <c r="J1241" s="2199">
        <f>'Part VIII Scoring Criteria'!J90</f>
        <v>-84.477549999999994</v>
      </c>
      <c r="K1241" s="2199"/>
      <c r="L1241" s="2199"/>
      <c r="M1241" s="2199"/>
      <c r="N1241" s="2468"/>
      <c r="O1241" s="2944">
        <f>'Part VIII Scoring Criteria'!O90</f>
        <v>0.1</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
      <c r="A1242" s="2406"/>
      <c r="B1242" s="2397" t="s">
        <v>6885</v>
      </c>
      <c r="C1242" s="2397"/>
      <c r="D1242" s="2397"/>
      <c r="E1242" s="2397"/>
      <c r="F1242" s="2342" t="s">
        <v>6849</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
      <c r="A1243" s="2406"/>
      <c r="B1243" s="2199" t="str">
        <f>'Part VIII Scoring Criteria'!B92</f>
        <v>MARTA</v>
      </c>
      <c r="C1243" s="2199"/>
      <c r="D1243" s="2199"/>
      <c r="E1243" s="2199"/>
      <c r="F1243" s="2947">
        <f>'Part VIII Scoring Criteria'!F92</f>
        <v>4048485000</v>
      </c>
      <c r="G1243" s="2199" t="str">
        <f>'Part VIII Scoring Criteria'!G92</f>
        <v>marnold-vhb@itsmarta.com</v>
      </c>
      <c r="H1243" s="2199"/>
      <c r="I1243" s="2199"/>
      <c r="J1243" s="2199" t="str">
        <f>'Part VIII Scoring Criteria'!J92</f>
        <v>www.itsmarta.com</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4">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4">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7015</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4">
      <c r="A1247" s="2500" t="s">
        <v>1275</v>
      </c>
      <c r="B1247" s="2950" t="s">
        <v>1846</v>
      </c>
      <c r="C1247" s="2199" t="s">
        <v>7016</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4">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4">
      <c r="A1249" s="2464"/>
      <c r="B1249" s="2956" t="s">
        <v>1844</v>
      </c>
      <c r="C1249" s="2199" t="s">
        <v>7017</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4">
      <c r="A1250" s="2500" t="s">
        <v>1275</v>
      </c>
      <c r="B1250" s="2956" t="s">
        <v>1846</v>
      </c>
      <c r="C1250" s="2199" t="s">
        <v>7018</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7019</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4">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 xml:space="preserve">Development site is located on MARTA Route 83 with two bus stops within walking distance (&lt;0.25 mile) of the pedestrian entrance/vehicle entrace to the development.  One stop is adjacent to the proposed site entrance and on the same side of Campbellton Road.  Additionally, MARTA is planning a Bus Rapid Transit route along Campbellton which would be complete after the proposed development and one transit station (Harbin Station) would be within walking distance of the site.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4">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4">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4">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1.5</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7020</v>
      </c>
      <c r="G1258" s="2962"/>
      <c r="H1258" s="2962" t="s">
        <v>7021</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4">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4">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60">
      <c r="A1261" s="2397"/>
      <c r="B1261" s="2438" t="str">
        <f>'Part VIII Scoring Criteria'!B110</f>
        <v>L.O. Kimberly Elementary School</v>
      </c>
      <c r="C1261" s="2438"/>
      <c r="D1261" s="2438"/>
      <c r="E1261" s="2438"/>
      <c r="F1261" s="2438" t="str">
        <f>'Part VIII Scoring Criteria'!F110</f>
        <v>No</v>
      </c>
      <c r="G1261" s="2438"/>
      <c r="H1261" s="2438" t="str">
        <f>'Part VIII Scoring Criteria'!H110</f>
        <v>Yes</v>
      </c>
      <c r="I1261" s="2438"/>
      <c r="J1261" s="2438" t="str">
        <f>'Part VIII Scoring Criteria'!J110</f>
        <v>Yes</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5">
      <c r="A1262" s="2397"/>
      <c r="B1262" s="2438" t="str">
        <f>'Part VIII Scoring Criteria'!B111</f>
        <v>Bunche Middle School</v>
      </c>
      <c r="C1262" s="2438"/>
      <c r="D1262" s="2438"/>
      <c r="E1262" s="2438"/>
      <c r="F1262" s="2438" t="str">
        <f>'Part VIII Scoring Criteria'!F111</f>
        <v>No</v>
      </c>
      <c r="G1262" s="2438"/>
      <c r="H1262" s="2438" t="str">
        <f>'Part VIII Scoring Criteria'!H111</f>
        <v>Yes</v>
      </c>
      <c r="I1262" s="2438"/>
      <c r="J1262" s="2438" t="str">
        <f>'Part VIII Scoring Criteria'!J111</f>
        <v>Yes</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5">
      <c r="A1263" s="2397"/>
      <c r="B1263" s="2438" t="str">
        <f>'Part VIII Scoring Criteria'!B112</f>
        <v>Therrell High School</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No</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4">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4">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4">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4">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6">
      <c r="A1268" s="2406" t="str">
        <f>'Part VIII Scoring Criteria'!A117</f>
        <v>Development site is located in the attendance zone for Kimberly Elementary, Bunch High School, and Therrell High School.  Kimberly Elementary School (PK-05) and Bunche Middle School (06-08) both achieved "Beating the Odds" designation in 2018.  Therefore, Fairhaven on Campbellton qualifies for 1.5 points under Quality Education as 8 out of 12 grades score under Section B.</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4">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4">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4">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4">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4">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4">
      <c r="A1275" s="2500"/>
      <c r="B1275" s="2397"/>
      <c r="C1275" s="2199" t="s">
        <v>7022</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t="str">
        <f>'Part VIII Scoring Criteria'!M125</f>
        <v>p. 2-4</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p. 16</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pp. 5-6; 21; 29-30; 58; 81-21</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pp. 8; 14; 51; 52-53</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t="str">
        <f>'Part VIII Scoring Criteria'!M129</f>
        <v>pp. 51-53 of plan; p. 463-464 Council budget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4">
      <c r="A1281" s="2399"/>
      <c r="B1281" s="2966" t="s">
        <v>1844</v>
      </c>
      <c r="C1281" s="2929" t="s">
        <v>6890</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4">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7023</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7024</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4">
      <c r="A1285" s="2540"/>
      <c r="B1285" s="2926"/>
      <c r="C1285" s="2397" t="s">
        <v>7025</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4">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4">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6">
      <c r="A1288" s="2406" t="str">
        <f>'Part VIII Scoring Criteria'!A137</f>
        <v xml:space="preserve">Development site is located in a 2023 Qualified Census Tract.  Site is within the targeted corridor for the Campbellton Road TAD CRP (which includes housing as a goal; assesses infrastructure; designates implementation measures; and is annually re-approved by Council) as well as within the MARTA Campbellton Bus Rapid Transit System corridor with Harbin Station less than 0.25 mile west of the site, along with multiple ongoing community improvement projects funded by City of Atlanta (funding value in excess of $30,000/unit).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4">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4">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4">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4">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4">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No</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4">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35">
      <c r="A1298" s="2406" t="str">
        <f>'Part VIII Scoring Criteria'!A147</f>
        <v>Applicant is not requesting points for Community Transformation.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4">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4">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4">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4">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4">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4">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4">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4">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
      <c r="A1309" s="2397"/>
      <c r="B1309" s="2397"/>
      <c r="C1309" s="2976" t="s">
        <v>6219</v>
      </c>
      <c r="D1309" s="2397"/>
      <c r="E1309" s="2977" t="s">
        <v>6218</v>
      </c>
      <c r="F1309" s="2977"/>
      <c r="G1309" s="2977"/>
      <c r="H1309" s="2977"/>
      <c r="I1309" s="2342" t="s">
        <v>6893</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4">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4">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4">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70">
      <c r="A1316" s="2406" t="str">
        <f>'Part VIII Scoring Criteria'!A165</f>
        <v>Applicant is claiming points under Revitalization/Redevelopment Plan and is therefore ineligible to claim points under Stable Communities.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4">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4">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4">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4">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4">
      <c r="A1322" s="2464" t="s">
        <v>343</v>
      </c>
      <c r="B1322" s="2982" t="s">
        <v>4034</v>
      </c>
      <c r="C1322" s="2397"/>
      <c r="D1322" s="2397"/>
      <c r="E1322" s="2397"/>
      <c r="F1322" s="2397"/>
      <c r="G1322" s="2312" t="s">
        <v>3152</v>
      </c>
      <c r="H1322" s="2922">
        <f>IF('Part V-Revenues &amp; Expenses'!$P$67=0,0,'Part V-Revenues &amp; Expenses'!$P$64/'Part V-Revenues &amp; Expenses'!$P$67)</f>
        <v>0.21276595744680851</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4">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4">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4">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4">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4">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4">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4">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No</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4">
      <c r="A1333" s="2500" t="s">
        <v>1843</v>
      </c>
      <c r="B1333" s="2984" t="s">
        <v>3263</v>
      </c>
      <c r="C1333" s="2397"/>
      <c r="D1333" s="2404"/>
      <c r="E1333" s="2397"/>
      <c r="F1333" s="2397"/>
      <c r="G1333" s="2397"/>
      <c r="H1333" s="2397"/>
      <c r="I1333" s="2397"/>
      <c r="J1333" s="2397"/>
      <c r="K1333" s="2397"/>
      <c r="L1333" s="2404"/>
      <c r="M1333" s="2463"/>
      <c r="N1333" s="2468"/>
      <c r="O1333" s="2500" t="str">
        <f>'Part VIII Scoring Criteria'!O182</f>
        <v>No</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4">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65">
      <c r="A1335" s="2406" t="str">
        <f>'Part VIII Scoring Criteria'!A184</f>
        <v>Development is not part of a CNI Grant or Purpose Built Communities participant.</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4">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4">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4">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4">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6857</v>
      </c>
      <c r="H1341" s="2397" t="s">
        <v>574</v>
      </c>
      <c r="I1341" s="2397"/>
      <c r="J1341" s="2397"/>
      <c r="K1341" s="2466" t="s">
        <v>6929</v>
      </c>
      <c r="L1341" s="2466"/>
      <c r="M1341" s="2466"/>
      <c r="N1341" s="2935"/>
      <c r="O1341" s="2500" t="str">
        <f>'Part VIII Scoring Criteria'!O190</f>
        <v>No</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4">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4">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4">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4">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50">
      <c r="A1346" s="2406" t="str">
        <f>'Part VIII Scoring Criteria'!A195</f>
        <v>Not applicable as development is not part of a proposed phased development.</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4">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4">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4">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4">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4">
      <c r="A1352" s="2540" t="s">
        <v>1841</v>
      </c>
      <c r="B1352" s="2198" t="s">
        <v>7026</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4">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4">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4">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70">
      <c r="A1356" s="2406" t="str">
        <f>'Part VIII Scoring Criteria'!A205</f>
        <v>Development site is not located within a 1-mile radius of any previously funded 9% LIHTC developments (minimum last 6 funding rounds).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4">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4">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4">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4">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4">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4">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4">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4">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4">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4">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7027</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4">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4">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4">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4">
      <c r="A1375" s="2500"/>
      <c r="B1375" s="2404" t="s">
        <v>6858</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6">
      <c r="A1377" s="2397"/>
      <c r="B1377" s="2406" t="str">
        <f>'Part VIII Scoring Criteria'!B226</f>
        <v>Cost estimate was derived from Xfinity/Comcast online pricing for service available at the development site.  Assuming a 75 Mbps service (router and modem included) at a cost of $53/month/unit (price after expiration of introductory discounts) this total expense was included in the operatiing expense budget as a separate utility expense.</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4">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314">
      <c r="A1379" s="2406" t="str">
        <f>'Part VIII Scoring Criteria'!A228</f>
        <v>Applicant will proide free high-speed internet that is accessible within each unit.  Internet service will meet DCA requirements (min. 25 Mbps download / 5 Mbps upload).</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4">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4">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4">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4">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f>'Part VIII Scoring Criteria'!I235</f>
        <v>0</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4">
      <c r="A1388" s="2464"/>
      <c r="B1388" s="2199"/>
      <c r="C1388" s="2199" t="s">
        <v>6693</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4">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t="str">
        <f>'Part VIII Scoring Criteria'!O239</f>
        <v>N/a</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4">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4">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4">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4">
      <c r="A1396" s="2500"/>
      <c r="B1396" s="2984"/>
      <c r="C1396" s="2199" t="s">
        <v>6861</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7028</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4">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Applicant commits to engage Qualified Businesses in the development or operation of the property in amounts equal to 5% or more of total construction hard costs and to submit a report with the Final Allocation Application described our efforts.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4">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4">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4">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4">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4">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4">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70">
      <c r="A1408" s="2406" t="str">
        <f>'Part VIII Scoring Criteria'!A257</f>
        <v>Applicant will solicit bids from a CORES-certified 3rd Party Contractor and, if the cost is supported by the operating budget, engage a CORES provider for supportive service provision at the development.</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4">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4">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4">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4">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4">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4">
      <c r="A1415" s="2500"/>
      <c r="B1415" s="2199" t="s">
        <v>6900</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4">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4">
      <c r="A1417" s="2982"/>
      <c r="B1417" s="2199" t="s">
        <v>6900</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4">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4">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4">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4">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4">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4">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4">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05">
      <c r="A1426" s="2406" t="str">
        <f>'Part VIII Scoring Criteria'!A275</f>
        <v>City of Atlanta is not a GICH Community or Alumni.</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4">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4">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4">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4">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4">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t="str">
        <f>'Part VIII Scoring Criteria'!O282</f>
        <v>N/a</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
      <c r="A1443" s="2397"/>
      <c r="B1443" s="2933" t="s">
        <v>3888</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
      <c r="A1445" s="2397"/>
      <c r="B1445" s="2933" t="s">
        <v>6865</v>
      </c>
      <c r="C1445" s="2199" t="s">
        <v>6902</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4">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4">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4">
      <c r="A1448" s="2199"/>
      <c r="B1448" s="2931"/>
      <c r="C1448" s="2405" t="s">
        <v>2412</v>
      </c>
      <c r="D1448" s="2438"/>
      <c r="E1448" s="2438"/>
      <c r="F1448" s="2397"/>
      <c r="G1448" s="2397"/>
      <c r="H1448" s="2397"/>
      <c r="I1448" s="2468" t="s">
        <v>6235</v>
      </c>
      <c r="J1448" s="2994">
        <f>'Part V-Revenues &amp; Expenses'!$P$67</f>
        <v>47</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
      <c r="A1450" s="2397"/>
      <c r="B1450" s="2397"/>
      <c r="C1450" s="2438"/>
      <c r="D1450" s="2438"/>
      <c r="E1450" s="2438"/>
      <c r="F1450" s="2397"/>
      <c r="G1450" s="2397"/>
      <c r="H1450" s="2397"/>
      <c r="I1450" s="2926" t="s">
        <v>6866</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4">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4">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4">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4">
      <c r="A1455" s="2540"/>
      <c r="B1455" s="2967"/>
      <c r="C1455" s="2199" t="s">
        <v>6868</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4">
      <c r="A1456" s="2397"/>
      <c r="B1456" s="2967"/>
      <c r="C1456" s="2397" t="s">
        <v>6869</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4">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05">
      <c r="A1458" s="2406" t="str">
        <f>'Part VIII Scoring Criteria'!A307</f>
        <v>Applicant is not requesting points for favorable financing.</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4">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4">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4">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4">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4">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4">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4">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0">
      <c r="A1469" s="2406" t="str">
        <f>'Part VIII Scoring Criteria'!A318</f>
        <v>Applicant is not requesting points for historic preservation.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4">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4">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4">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4">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4">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4">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4">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4">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4">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4">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4">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4">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4">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4">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4">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4">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4">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4">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4">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65">
      <c r="A1491" s="2406" t="str">
        <f>'Part VIII Scoring Criteria'!A340</f>
        <v>Applicant does not have a PBRA commitment but will participate in the DCA 811 program.</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4">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4">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4">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4">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4">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05">
      <c r="A1498" s="2406" t="str">
        <f>'Part VIII Scoring Criteria'!A347</f>
        <v>Not applicable to a new construction deveopment.</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4">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4">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4">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4">
      <c r="A1503" s="2982" t="s">
        <v>3380</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4">
      <c r="A1504" s="2982"/>
      <c r="B1504" s="2199" t="s">
        <v>6870</v>
      </c>
      <c r="C1504" s="2199"/>
      <c r="D1504" s="2465"/>
      <c r="E1504" s="2465"/>
      <c r="F1504" s="2198"/>
      <c r="G1504" s="2199"/>
      <c r="H1504" s="2199"/>
      <c r="I1504" s="2199"/>
      <c r="J1504" s="2199"/>
      <c r="K1504" s="2199"/>
      <c r="L1504" s="2969"/>
      <c r="M1504" s="2500"/>
      <c r="N1504" s="2312"/>
      <c r="O1504" s="2312" t="str">
        <f>'Part VIII Scoring Criteria'!O353</f>
        <v>N/a</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4">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4">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4">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4">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4">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90">
      <c r="A1511" s="2406" t="str">
        <f>'Part VIII Scoring Criteria'!A360</f>
        <v>Applicant does not have a PBRA commitment.</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4">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4">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4">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4">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4">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4">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4">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05">
      <c r="A1520" s="2406" t="str">
        <f>'Part VIII Scoring Criteria'!A369</f>
        <v>Not applicalbe to a new construction development.</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4">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4">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4">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4">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4">
      <c r="A1526" s="2500" t="s">
        <v>1841</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6" customHeight="1">
      <c r="A1527" s="2500"/>
      <c r="B1527" s="2397" t="s">
        <v>1133</v>
      </c>
      <c r="D1527" s="2397" t="s">
        <v>6930</v>
      </c>
      <c r="E1527" s="2199"/>
      <c r="F1527" s="2199"/>
      <c r="G1527" s="2199" t="s">
        <v>6222</v>
      </c>
      <c r="H1527" s="2199"/>
      <c r="I1527" s="2199"/>
      <c r="J1527" s="2199" t="s">
        <v>575</v>
      </c>
      <c r="L1527" s="2342" t="s">
        <v>6931</v>
      </c>
      <c r="M1527" s="3918" t="s">
        <v>6941</v>
      </c>
      <c r="N1527" s="3918"/>
      <c r="O1527" s="3918"/>
      <c r="P1527" s="3918"/>
      <c r="Q1527" s="2969"/>
    </row>
    <row r="1528" spans="1:64" s="2397" customFormat="1" ht="16"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6"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6"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6"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6"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6"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6"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6"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6"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4">
      <c r="A1538" s="2957" t="s">
        <v>1843</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4">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90">
      <c r="A1540" s="2406" t="str">
        <f>'Part VIII Scoring Criteria'!A389</f>
        <v>Not applicable to proposed development.</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4">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4">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4">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4">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4">
      <c r="A1546" s="2921" t="s">
        <v>1841</v>
      </c>
      <c r="B1546" s="2198" t="s">
        <v>7029</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This section is not applicable to the proposed new construction project.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4">
      <c r="A1548" s="3001" t="s">
        <v>1843</v>
      </c>
      <c r="B1548" s="2953" t="s">
        <v>7030</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This section is not applicable to the proposed new construction project.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4">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09.6">
      <c r="A1551" s="2406" t="str">
        <f>'Part VIII Scoring Criteria'!A400</f>
        <v>Fairhaven on Campbellton is the Applicant's only 9% submission in the 2023 round.  The development is claiming points under enriched propety services.  The development would reduce public housing waiting lists with Atlanta Housing Authority.</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4">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7031</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4">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69.5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4">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7032</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60">
      <c r="A1559" s="2406" t="str">
        <f>'Part VIII Scoring Criteria'!A408</f>
        <v>No additional comments.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4">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4">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4">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4">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4">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4">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4">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4">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4">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30">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6927</v>
      </c>
      <c r="BC1570" s="3006" t="s">
        <v>6545</v>
      </c>
      <c r="BD1570" s="3006" t="s">
        <v>6546</v>
      </c>
      <c r="BE1570" s="3006" t="s">
        <v>6547</v>
      </c>
      <c r="BF1570" s="3006">
        <v>0.09</v>
      </c>
      <c r="BG1570" s="3006">
        <v>0.04</v>
      </c>
      <c r="BH1570" s="3006">
        <v>0.04</v>
      </c>
      <c r="BI1570" s="3006" t="s">
        <v>6927</v>
      </c>
      <c r="BJ1570" s="3006" t="s">
        <v>6545</v>
      </c>
      <c r="BK1570" s="3006" t="s">
        <v>6546</v>
      </c>
      <c r="BL1570" s="3006" t="s">
        <v>6547</v>
      </c>
    </row>
    <row r="1571" spans="1:64" ht="14">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4">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4">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4">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4">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4">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1.5</v>
      </c>
      <c r="AZ1576" s="2959">
        <f>O1257</f>
        <v>1.5</v>
      </c>
      <c r="BA1576" s="2959"/>
      <c r="BB1576" s="2959"/>
      <c r="BC1576" s="2959"/>
      <c r="BD1576" s="2959"/>
      <c r="BE1576" s="2959"/>
      <c r="BF1576" s="2959">
        <f>P1257</f>
        <v>0</v>
      </c>
      <c r="BG1576" s="2959">
        <f>P1257</f>
        <v>0</v>
      </c>
      <c r="BH1576" s="2959"/>
      <c r="BI1576" s="2959"/>
      <c r="BJ1576" s="2959"/>
      <c r="BK1576" s="2959"/>
      <c r="BL1576" s="2959"/>
    </row>
    <row r="1577" spans="1:64" ht="14">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4">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4">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4">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4">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6945</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4">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4">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4">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4">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4">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4">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f>'Part II-Sources of Funds'!$L$14</f>
        <v>0</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4">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4">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4">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4">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4">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4">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4">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4">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4">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4">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4">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6925</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6925</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4">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4">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69.5</v>
      </c>
      <c r="AZ1600" s="2542">
        <f>'Part VIII Scoring Criteria'!AZ449</f>
        <v>61.5</v>
      </c>
      <c r="BA1600" s="2542">
        <f>'Part VIII Scoring Criteria'!BA449</f>
        <v>28</v>
      </c>
      <c r="BB1600" s="2542">
        <f>'Part VIII Scoring Criteria'!BB449</f>
        <v>28</v>
      </c>
      <c r="BC1600" s="2542">
        <f>'Part VIII Scoring Criteria'!BC449</f>
        <v>30</v>
      </c>
      <c r="BD1600" s="2542">
        <f>'Part VIII Scoring Criteria'!BD449</f>
        <v>30</v>
      </c>
      <c r="BE1600" s="2542">
        <f>'Part VIII Scoring Criteria'!BE449</f>
        <v>30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4">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4">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4">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4">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4">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4">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4">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4">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4">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4">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4">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4">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4">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4">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4">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4">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4">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4">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4">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4">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4">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4">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4">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4">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4">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4">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4">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4">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4">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4">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4">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4">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4">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4">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4">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4">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4">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4">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4">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4">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4">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4">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4">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4">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4">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4">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4">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4">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4">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4">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4">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4">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4">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4">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4">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4">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4">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4">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4">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4">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4">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4">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4">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4">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4">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4">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4">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4">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4">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4">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4">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4">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4">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4">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4">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4">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4">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4">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4">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4">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4">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4">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4">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4">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4">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4">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4">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4">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4">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4">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4">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4">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4">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4">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4">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4">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4">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4">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4">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4">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3539F21ECC7143824245F76A9305C1" ma:contentTypeVersion="16" ma:contentTypeDescription="Create a new document." ma:contentTypeScope="" ma:versionID="983cc361d116377edfe0628f67a1b809">
  <xsd:schema xmlns:xsd="http://www.w3.org/2001/XMLSchema" xmlns:xs="http://www.w3.org/2001/XMLSchema" xmlns:p="http://schemas.microsoft.com/office/2006/metadata/properties" xmlns:ns2="9a4c68c8-3ca7-4960-87cb-637ffaddca77" xmlns:ns3="8113d29b-0d15-4801-b5f4-34b70d5101f2" targetNamespace="http://schemas.microsoft.com/office/2006/metadata/properties" ma:root="true" ma:fieldsID="5cd496b49018a986f4228f7029776441" ns2:_="" ns3:_="">
    <xsd:import namespace="9a4c68c8-3ca7-4960-87cb-637ffaddca77"/>
    <xsd:import namespace="8113d29b-0d15-4801-b5f4-34b70d5101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c68c8-3ca7-4960-87cb-637ffaddca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5d4763-29d8-42e3-a506-9d8dfc8dff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13d29b-0d15-4801-b5f4-34b70d5101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f633e68-d31a-40bb-8603-b84e848e2ce1}" ma:internalName="TaxCatchAll" ma:showField="CatchAllData" ma:web="8113d29b-0d15-4801-b5f4-34b70d510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672027-BCC1-4605-B8C2-959CDDD633E4}">
  <ds:schemaRefs>
    <ds:schemaRef ds:uri="http://schemas.microsoft.com/sharepoint/v3/contenttype/forms"/>
  </ds:schemaRefs>
</ds:datastoreItem>
</file>

<file path=customXml/itemProps2.xml><?xml version="1.0" encoding="utf-8"?>
<ds:datastoreItem xmlns:ds="http://schemas.openxmlformats.org/officeDocument/2006/customXml" ds:itemID="{A6B5E587-DB74-49DC-8FDF-0E8E833FB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c68c8-3ca7-4960-87cb-637ffaddca77"/>
    <ds:schemaRef ds:uri="8113d29b-0d15-4801-b5f4-34b70d510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Sean Brady</cp:lastModifiedBy>
  <cp:lastPrinted>2023-05-19T18:46:57Z</cp:lastPrinted>
  <dcterms:created xsi:type="dcterms:W3CDTF">2005-09-15T20:51:37Z</dcterms:created>
  <dcterms:modified xsi:type="dcterms:W3CDTF">2023-05-19T18:47:06Z</dcterms:modified>
</cp:coreProperties>
</file>