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3/2023 Scan Backup/Piedmont/2023-0xxWndsrCrsgAppFldr/"/>
    </mc:Choice>
  </mc:AlternateContent>
  <xr:revisionPtr revIDLastSave="0" documentId="8_{207C877C-FC3C-4B06-ADDF-D8090A52FC80}"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6"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OperRes">'Part III-A-Uses of Funds'!$J$36</definedName>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orkCapRes">'Part III-A-Uses of Funds'!$J$37</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78" l="1"/>
  <c r="S27" i="78"/>
  <c r="J26" i="78"/>
  <c r="G27" i="78"/>
  <c r="F133" i="74"/>
  <c r="E133" i="74"/>
  <c r="D133" i="74"/>
  <c r="C133" i="74"/>
  <c r="B133" i="74"/>
  <c r="K103" i="74"/>
  <c r="J103" i="74"/>
  <c r="I103" i="74"/>
  <c r="H103" i="74"/>
  <c r="G103" i="74"/>
  <c r="F103" i="74"/>
  <c r="E103" i="74"/>
  <c r="D103" i="74"/>
  <c r="C103" i="74"/>
  <c r="B103" i="74"/>
  <c r="K72" i="74"/>
  <c r="J72" i="74"/>
  <c r="I72" i="74"/>
  <c r="H72" i="74"/>
  <c r="G72" i="74"/>
  <c r="F72" i="74"/>
  <c r="E72" i="74"/>
  <c r="D72" i="74"/>
  <c r="C72" i="74"/>
  <c r="B72" i="74"/>
  <c r="B58" i="74"/>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L123" i="102"/>
  <c r="O122" i="102"/>
  <c r="BJ437" i="102"/>
  <c r="O1245" i="103"/>
  <c r="O86" i="102"/>
  <c r="O1237" i="103" s="1"/>
  <c r="P1245" i="103"/>
  <c r="P86" i="102"/>
  <c r="P1237" i="103" s="1"/>
  <c r="O1219" i="103"/>
  <c r="O66" i="102"/>
  <c r="O1217" i="103" s="1"/>
  <c r="R312" i="102"/>
  <c r="O1463" i="103"/>
  <c r="P66" i="102"/>
  <c r="P1217" i="103" s="1"/>
  <c r="BG1573" i="103" s="1"/>
  <c r="BF432" i="102"/>
  <c r="P1351" i="103"/>
  <c r="BF1583" i="103" s="1"/>
  <c r="AH449" i="102"/>
  <c r="AH1600" i="103" s="1"/>
  <c r="AJ449" i="102"/>
  <c r="AJ1600" i="103" s="1"/>
  <c r="AI449" i="102"/>
  <c r="AI1600" i="103" s="1"/>
  <c r="C1187" i="103"/>
  <c r="E34" i="102"/>
  <c r="BH449" i="102"/>
  <c r="BH1600" i="103" s="1"/>
  <c r="D1187" i="103"/>
  <c r="E21" i="102"/>
  <c r="E1172" i="103" s="1"/>
  <c r="O1351" i="103"/>
  <c r="BF440" i="102"/>
  <c r="M302"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BB433" i="102"/>
  <c r="O1361" i="103"/>
  <c r="BB1584" i="103" s="1"/>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M529" i="103" l="1"/>
  <c r="Q605" i="103"/>
  <c r="Q607" i="103"/>
  <c r="M526" i="103"/>
  <c r="M517" i="103"/>
  <c r="M523"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I26" i="74" l="1"/>
  <c r="I733" i="103" s="1"/>
  <c r="B26" i="74"/>
  <c r="B733" i="103" s="1"/>
  <c r="H26" i="74"/>
  <c r="H733" i="103" s="1"/>
  <c r="D56" i="86"/>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E26" i="74"/>
  <c r="E733" i="103" s="1"/>
  <c r="J26" i="74"/>
  <c r="J733" i="103" s="1"/>
  <c r="K26" i="74"/>
  <c r="D26" i="74"/>
  <c r="D733" i="103" s="1"/>
  <c r="F26" i="74"/>
  <c r="F733" i="103" s="1"/>
  <c r="C26" i="74"/>
  <c r="C733" i="103" s="1"/>
  <c r="G26" i="74"/>
  <c r="G733"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C128" i="74"/>
  <c r="E41" i="87"/>
  <c r="E21" i="87"/>
  <c r="F84" i="92"/>
  <c r="G36" i="74"/>
  <c r="H68" i="74"/>
  <c r="I36" i="74"/>
  <c r="D36" i="74"/>
  <c r="C68" i="74"/>
  <c r="E130" i="74"/>
  <c r="B10" i="87"/>
  <c r="B17" i="87"/>
  <c r="D99" i="74"/>
  <c r="B68" i="74"/>
  <c r="H36" i="74"/>
  <c r="G68" i="74"/>
  <c r="H99" i="74"/>
  <c r="E39" i="87"/>
  <c r="B129" i="74"/>
  <c r="J68" i="74"/>
  <c r="E99" i="74"/>
  <c r="F69" i="74"/>
  <c r="D68" i="74"/>
  <c r="E1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13" i="87" l="1"/>
  <c r="B12" i="87"/>
  <c r="D739" i="103"/>
  <c r="E739" i="103"/>
  <c r="F739" i="103"/>
  <c r="D771" i="103"/>
  <c r="J739" i="103"/>
  <c r="G739" i="103"/>
  <c r="C771" i="103"/>
  <c r="B771" i="103"/>
  <c r="K739" i="103"/>
  <c r="E771" i="103"/>
  <c r="C739" i="103"/>
  <c r="F771" i="103"/>
  <c r="H739" i="103"/>
  <c r="B739" i="103"/>
  <c r="B44" i="74"/>
  <c r="B751" i="103" s="1"/>
  <c r="I739" i="103"/>
  <c r="M496" i="103"/>
  <c r="M497" i="103" s="1"/>
  <c r="P95" i="103"/>
  <c r="P94" i="103"/>
  <c r="I105" i="103"/>
  <c r="C40" i="74"/>
  <c r="C747" i="103" s="1"/>
  <c r="C77" i="100"/>
  <c r="I75" i="100"/>
  <c r="I77" i="100" s="1"/>
  <c r="G75" i="100"/>
  <c r="G77" i="100" s="1"/>
  <c r="E75" i="100"/>
  <c r="E77" i="100" s="1"/>
  <c r="K75" i="100"/>
  <c r="K77" i="100" s="1"/>
  <c r="B11"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18" i="87"/>
  <c r="B15" i="87"/>
  <c r="B19" i="87"/>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E24" i="87"/>
  <c r="G98" i="74"/>
  <c r="E35" i="87"/>
  <c r="E34" i="86"/>
  <c r="E40" i="87"/>
  <c r="E42" i="87"/>
  <c r="E17" i="87"/>
  <c r="E31" i="87"/>
  <c r="E14" i="86"/>
  <c r="E15" i="87"/>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H98" i="74"/>
  <c r="B98" i="74"/>
  <c r="B35" i="74"/>
  <c r="B128" i="74"/>
  <c r="D98" i="74"/>
  <c r="G67" i="74"/>
  <c r="I98" i="74"/>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D10" i="86" l="1"/>
  <c r="C44" i="74"/>
  <c r="C751" i="103" s="1"/>
  <c r="P96" i="103"/>
  <c r="L35" i="68"/>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B728" i="103"/>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E44" i="74" l="1"/>
  <c r="E751" i="103" s="1"/>
  <c r="P280" i="103"/>
  <c r="P281" i="103" s="1"/>
  <c r="P283" i="103" s="1"/>
  <c r="F728" i="103"/>
  <c r="E728" i="103"/>
  <c r="C728" i="103"/>
  <c r="D728"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F44" i="74" l="1"/>
  <c r="F751" i="103" s="1"/>
  <c r="G728" i="103"/>
  <c r="J284" i="103"/>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B23" i="74"/>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G44" i="74" l="1"/>
  <c r="G751" i="103"/>
  <c r="H44" i="74"/>
  <c r="Q247" i="75"/>
  <c r="B730" i="103"/>
  <c r="B746" i="103" s="1"/>
  <c r="B39" i="74"/>
  <c r="N682" i="103"/>
  <c r="Q694" i="103"/>
  <c r="H53" i="82"/>
  <c r="H738" i="103"/>
  <c r="H728" i="103"/>
  <c r="E174" i="90"/>
  <c r="E175" i="90" s="1"/>
  <c r="C66" i="84"/>
  <c r="E66" i="84" s="1"/>
  <c r="N235" i="75"/>
  <c r="Q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B20" i="74"/>
  <c r="H23" i="74"/>
  <c r="H730" i="103" s="1"/>
  <c r="I23" i="74"/>
  <c r="I730" i="103" s="1"/>
  <c r="C23" i="74"/>
  <c r="C13" i="86"/>
  <c r="D23" i="74"/>
  <c r="G23"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J738" i="103" s="1"/>
  <c r="I24" i="74"/>
  <c r="J14" i="74"/>
  <c r="I16" i="74"/>
  <c r="I723" i="103" s="1"/>
  <c r="I15" i="74"/>
  <c r="I722" i="103" s="1"/>
  <c r="I21" i="74"/>
  <c r="H751" i="103" l="1"/>
  <c r="I44" i="74"/>
  <c r="K66" i="84"/>
  <c r="K70" i="84" s="1"/>
  <c r="K72" i="84" s="1"/>
  <c r="G66" i="84"/>
  <c r="E70" i="84"/>
  <c r="E76" i="84" s="1"/>
  <c r="E73" i="84" s="1"/>
  <c r="H39" i="74"/>
  <c r="H746" i="103"/>
  <c r="F730" i="103"/>
  <c r="F746" i="103" s="1"/>
  <c r="F39" i="74"/>
  <c r="I66" i="84"/>
  <c r="I70" i="84" s="1"/>
  <c r="I76" i="84" s="1"/>
  <c r="I73" i="84" s="1"/>
  <c r="D730" i="103"/>
  <c r="D746" i="103" s="1"/>
  <c r="D39" i="74"/>
  <c r="G730" i="103"/>
  <c r="G746" i="103" s="1"/>
  <c r="G39" i="74"/>
  <c r="C730" i="103"/>
  <c r="C746" i="103" s="1"/>
  <c r="C39" i="74"/>
  <c r="E730" i="103"/>
  <c r="E746" i="103" s="1"/>
  <c r="E39" i="74"/>
  <c r="C70" i="84"/>
  <c r="C72" i="84" s="1"/>
  <c r="I728" i="103"/>
  <c r="G20" i="74"/>
  <c r="G727" i="103" s="1"/>
  <c r="B25" i="74"/>
  <c r="B33" i="74" s="1"/>
  <c r="B727" i="103"/>
  <c r="B732" i="103" s="1"/>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D732" i="103" s="1"/>
  <c r="G56" i="84"/>
  <c r="G64" i="84" s="1"/>
  <c r="G70" i="84" s="1"/>
  <c r="G76" i="84" s="1"/>
  <c r="G73" i="84" s="1"/>
  <c r="F20" i="74"/>
  <c r="F727" i="103" s="1"/>
  <c r="K31" i="74"/>
  <c r="K738" i="103" s="1"/>
  <c r="J53" i="82"/>
  <c r="K14" i="74"/>
  <c r="J24" i="74"/>
  <c r="J15" i="74"/>
  <c r="J722" i="103" s="1"/>
  <c r="J16" i="74"/>
  <c r="J723" i="103" s="1"/>
  <c r="J21" i="74"/>
  <c r="J23" i="74"/>
  <c r="J730" i="103" s="1"/>
  <c r="I17" i="74"/>
  <c r="I724" i="103" s="1"/>
  <c r="H20" i="74"/>
  <c r="H727" i="103" s="1"/>
  <c r="H732" i="103" s="1"/>
  <c r="G25" i="74" l="1"/>
  <c r="G34" i="74" s="1"/>
  <c r="I39" i="74"/>
  <c r="I746" i="103"/>
  <c r="I751" i="103"/>
  <c r="J44" i="74"/>
  <c r="E72" i="84"/>
  <c r="C76" i="84"/>
  <c r="C73" i="84" s="1"/>
  <c r="B44" i="82"/>
  <c r="B51" i="82" s="1"/>
  <c r="G732" i="103"/>
  <c r="G740" i="103" s="1"/>
  <c r="E732" i="103"/>
  <c r="E740" i="103" s="1"/>
  <c r="F732" i="103"/>
  <c r="F741" i="103" s="1"/>
  <c r="J728" i="103"/>
  <c r="H740" i="103"/>
  <c r="H741" i="103"/>
  <c r="H745" i="103"/>
  <c r="D740" i="103"/>
  <c r="D741" i="103"/>
  <c r="D745" i="103"/>
  <c r="B740" i="103"/>
  <c r="B745" i="103"/>
  <c r="B741" i="103"/>
  <c r="B34" i="74"/>
  <c r="B38"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E25" i="74"/>
  <c r="G72" i="8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G33" i="74" l="1"/>
  <c r="H9" i="86" s="1"/>
  <c r="H17" i="86" s="1"/>
  <c r="H18" i="86" s="1"/>
  <c r="H20" i="86" s="1"/>
  <c r="H24" i="86" s="1"/>
  <c r="K11" i="86" s="1"/>
  <c r="G44" i="82"/>
  <c r="G51" i="82" s="1"/>
  <c r="G38" i="74"/>
  <c r="J39" i="74"/>
  <c r="J746" i="103"/>
  <c r="F740" i="103"/>
  <c r="K747" i="103"/>
  <c r="J751" i="103"/>
  <c r="K44" i="74"/>
  <c r="E745" i="103"/>
  <c r="B46" i="82"/>
  <c r="E741" i="103"/>
  <c r="G741" i="103"/>
  <c r="G745" i="103"/>
  <c r="F745" i="103"/>
  <c r="K728" i="103"/>
  <c r="C740" i="103"/>
  <c r="C741" i="103"/>
  <c r="C745" i="103"/>
  <c r="E34" i="74"/>
  <c r="E38" i="74"/>
  <c r="D34" i="74"/>
  <c r="D38" i="74"/>
  <c r="C34" i="74"/>
  <c r="C38" i="74"/>
  <c r="C33" i="74"/>
  <c r="S22" i="74" s="1"/>
  <c r="H34" i="74"/>
  <c r="H38" i="74"/>
  <c r="I740" i="103"/>
  <c r="I741" i="103"/>
  <c r="I745" i="103"/>
  <c r="F34" i="74"/>
  <c r="F38" i="74"/>
  <c r="E30" i="86"/>
  <c r="E33" i="74"/>
  <c r="F9" i="86" s="1"/>
  <c r="F17" i="86" s="1"/>
  <c r="F18" i="86" s="1"/>
  <c r="F20" i="86" s="1"/>
  <c r="F24" i="86" s="1"/>
  <c r="K9" i="86" s="1"/>
  <c r="D44" i="82"/>
  <c r="D46" i="82" s="1"/>
  <c r="B15" i="82"/>
  <c r="J183" i="78"/>
  <c r="M189" i="78" s="1"/>
  <c r="E44" i="82"/>
  <c r="E46" i="82" s="1"/>
  <c r="D33" i="74"/>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G46" i="82" l="1"/>
  <c r="K39" i="74"/>
  <c r="K746" i="103"/>
  <c r="B779" i="103"/>
  <c r="C58" i="74"/>
  <c r="B765" i="103"/>
  <c r="B20" i="87"/>
  <c r="B65" i="82"/>
  <c r="K751" i="103"/>
  <c r="B76" i="74"/>
  <c r="B760" i="103"/>
  <c r="J740" i="103"/>
  <c r="J741" i="103"/>
  <c r="J745" i="103"/>
  <c r="I34" i="74"/>
  <c r="I38" i="74"/>
  <c r="D9" i="86"/>
  <c r="D17" i="86" s="1"/>
  <c r="D18" i="86" s="1"/>
  <c r="D20" i="86" s="1"/>
  <c r="D24" i="86" s="1"/>
  <c r="K7" i="86" s="1"/>
  <c r="F30" i="86"/>
  <c r="D51" i="82"/>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D58" i="74"/>
  <c r="C765" i="103"/>
  <c r="B21" i="87"/>
  <c r="C65" i="82"/>
  <c r="G30" i="86"/>
  <c r="B783" i="103"/>
  <c r="C76" i="74"/>
  <c r="C760" i="103"/>
  <c r="K740" i="103"/>
  <c r="K741" i="103"/>
  <c r="K745" i="103"/>
  <c r="J34" i="74"/>
  <c r="J38" i="74"/>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C779" i="103"/>
  <c r="E58" i="74"/>
  <c r="D765" i="103"/>
  <c r="B22" i="87"/>
  <c r="D65" i="82"/>
  <c r="C783" i="103"/>
  <c r="D76" i="74"/>
  <c r="D760" i="103"/>
  <c r="B772" i="103"/>
  <c r="B777" i="103"/>
  <c r="B773" i="103"/>
  <c r="K38" i="74"/>
  <c r="K34" i="74"/>
  <c r="H30" i="86"/>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F58" i="74"/>
  <c r="E765" i="103"/>
  <c r="B23" i="87"/>
  <c r="E65" i="82"/>
  <c r="D779" i="103"/>
  <c r="D783" i="103"/>
  <c r="E76" i="74"/>
  <c r="E760" i="103"/>
  <c r="C772" i="103"/>
  <c r="C773" i="103"/>
  <c r="C777" i="103"/>
  <c r="B66" i="74"/>
  <c r="B70" i="74"/>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E779" i="103"/>
  <c r="I30" i="86"/>
  <c r="G58" i="74"/>
  <c r="F765" i="103"/>
  <c r="F65" i="82"/>
  <c r="F72" i="82" s="1"/>
  <c r="B24" i="87"/>
  <c r="E783" i="103"/>
  <c r="F76" i="74"/>
  <c r="F760" i="103"/>
  <c r="D772" i="103"/>
  <c r="D773" i="103"/>
  <c r="D777" i="103"/>
  <c r="C70" i="74"/>
  <c r="C66" i="74"/>
  <c r="C50" i="86"/>
  <c r="C64" i="82"/>
  <c r="C66" i="82" s="1"/>
  <c r="C65" i="74"/>
  <c r="E52" i="74"/>
  <c r="E759" i="103" s="1"/>
  <c r="E764" i="103" s="1"/>
  <c r="C52" i="82"/>
  <c r="C54" i="82" s="1"/>
  <c r="E72" i="82"/>
  <c r="B52" i="82"/>
  <c r="B54" i="82" s="1"/>
  <c r="C72" i="82"/>
  <c r="B72" i="82"/>
  <c r="H52" i="82"/>
  <c r="H54" i="82" s="1"/>
  <c r="E52" i="82"/>
  <c r="E54" i="82" s="1"/>
  <c r="G52" i="82"/>
  <c r="G54" i="82" s="1"/>
  <c r="B26" i="82"/>
  <c r="J52" i="82"/>
  <c r="J54" i="82" s="1"/>
  <c r="D72" i="82"/>
  <c r="D52" i="82"/>
  <c r="D54" i="82" s="1"/>
  <c r="K52" i="82"/>
  <c r="K54" i="82" s="1"/>
  <c r="F52" i="82"/>
  <c r="F54" i="82" s="1"/>
  <c r="I52" i="82"/>
  <c r="I54" i="82" s="1"/>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H58" i="74"/>
  <c r="G765" i="103"/>
  <c r="B25" i="87"/>
  <c r="G65" i="82"/>
  <c r="G72" i="82" s="1"/>
  <c r="F779" i="103"/>
  <c r="F783" i="103"/>
  <c r="G76" i="74"/>
  <c r="G783" i="103" s="1"/>
  <c r="G760" i="103"/>
  <c r="E772" i="103"/>
  <c r="E773" i="103"/>
  <c r="E777" i="103"/>
  <c r="D66" i="74"/>
  <c r="D70"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G779" i="103"/>
  <c r="D50" i="86"/>
  <c r="G78" i="82"/>
  <c r="I58" i="74"/>
  <c r="B26" i="87"/>
  <c r="H765" i="103"/>
  <c r="H65" i="82"/>
  <c r="H72" i="82" s="1"/>
  <c r="H760" i="103"/>
  <c r="E70" i="74"/>
  <c r="E66" i="74"/>
  <c r="F772" i="103"/>
  <c r="F777" i="103"/>
  <c r="F773" i="103"/>
  <c r="D57" i="86"/>
  <c r="D58" i="86" s="1"/>
  <c r="D60" i="86" s="1"/>
  <c r="D64" i="86" s="1"/>
  <c r="K21" i="86" s="1"/>
  <c r="E50" i="86"/>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J58" i="74"/>
  <c r="I765" i="103"/>
  <c r="B27" i="87"/>
  <c r="I65" i="82"/>
  <c r="I72" i="82" s="1"/>
  <c r="H78" i="82"/>
  <c r="H779" i="103"/>
  <c r="I760" i="103"/>
  <c r="F70" i="74"/>
  <c r="F66" i="74"/>
  <c r="G772" i="103"/>
  <c r="G777" i="103"/>
  <c r="G773" i="103"/>
  <c r="E57" i="86"/>
  <c r="E58" i="86" s="1"/>
  <c r="E60" i="86" s="1"/>
  <c r="E64" i="86" s="1"/>
  <c r="K22" i="86"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I779" i="103"/>
  <c r="I78" i="82"/>
  <c r="F50" i="86"/>
  <c r="F57" i="86" s="1"/>
  <c r="F58" i="86" s="1"/>
  <c r="F60" i="86" s="1"/>
  <c r="F64" i="86" s="1"/>
  <c r="K23" i="86" s="1"/>
  <c r="K58" i="74"/>
  <c r="J765" i="103"/>
  <c r="B28" i="87"/>
  <c r="J65" i="82"/>
  <c r="J72" i="82" s="1"/>
  <c r="J760" i="103"/>
  <c r="G66" i="74"/>
  <c r="G70" i="74"/>
  <c r="H772" i="103"/>
  <c r="H773" i="103"/>
  <c r="H777" i="103"/>
  <c r="G50" i="86"/>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B90" i="74"/>
  <c r="K65" i="82"/>
  <c r="K72" i="82" s="1"/>
  <c r="K765" i="103"/>
  <c r="B29" i="87"/>
  <c r="J78" i="82"/>
  <c r="K779" i="103"/>
  <c r="J779" i="103"/>
  <c r="K760" i="103"/>
  <c r="I772" i="103"/>
  <c r="I777" i="103"/>
  <c r="I773" i="103"/>
  <c r="H66" i="74"/>
  <c r="H70" i="74"/>
  <c r="G57" i="86"/>
  <c r="G58" i="86" s="1"/>
  <c r="G60" i="86" s="1"/>
  <c r="G64" i="86" s="1"/>
  <c r="K24" i="86" s="1"/>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K78" i="82"/>
  <c r="L70" i="85"/>
  <c r="O8" i="86"/>
  <c r="O14" i="86" s="1"/>
  <c r="O33" i="86" s="1"/>
  <c r="H63" i="86" s="1"/>
  <c r="L100" i="85"/>
  <c r="H50" i="86"/>
  <c r="H57" i="86" s="1"/>
  <c r="H58" i="86" s="1"/>
  <c r="H60" i="86" s="1"/>
  <c r="H64" i="86" s="1"/>
  <c r="K25" i="86" s="1"/>
  <c r="C90" i="74"/>
  <c r="B797" i="103"/>
  <c r="B30" i="87"/>
  <c r="B792" i="103"/>
  <c r="J772" i="103"/>
  <c r="J777" i="103"/>
  <c r="J773" i="103"/>
  <c r="I66" i="74"/>
  <c r="I70" i="74"/>
  <c r="C86" i="90"/>
  <c r="F61" i="89"/>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809" i="103" l="1"/>
  <c r="B102" i="74"/>
  <c r="D90" i="74"/>
  <c r="C797" i="103"/>
  <c r="B31" i="87"/>
  <c r="B810" i="103"/>
  <c r="C792" i="103"/>
  <c r="J66" i="74"/>
  <c r="J70" i="74"/>
  <c r="K772" i="103"/>
  <c r="K773" i="103"/>
  <c r="K777" i="103"/>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C810" i="103"/>
  <c r="E90" i="74"/>
  <c r="D797" i="103"/>
  <c r="B32" i="87"/>
  <c r="D792" i="103"/>
  <c r="D809" i="103" s="1"/>
  <c r="D102" i="74"/>
  <c r="B803" i="103"/>
  <c r="B804" i="103"/>
  <c r="B808" i="103"/>
  <c r="K66" i="74"/>
  <c r="K70" i="74"/>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F90" i="74" l="1"/>
  <c r="E797" i="103"/>
  <c r="B33" i="87"/>
  <c r="D810" i="103"/>
  <c r="E792" i="103"/>
  <c r="C803" i="103"/>
  <c r="C804" i="103"/>
  <c r="C808" i="103"/>
  <c r="B101" i="74"/>
  <c r="B97" i="74"/>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E810" i="103"/>
  <c r="G90" i="74"/>
  <c r="F797" i="103"/>
  <c r="B34" i="87"/>
  <c r="F792" i="103"/>
  <c r="D803" i="103"/>
  <c r="D804" i="103"/>
  <c r="D808" i="103"/>
  <c r="C97" i="74"/>
  <c r="C101" i="74"/>
  <c r="C96" i="74"/>
  <c r="E84" i="74"/>
  <c r="E791" i="103" s="1"/>
  <c r="E796" i="103" s="1"/>
  <c r="G79" i="74"/>
  <c r="G786" i="103" s="1"/>
  <c r="G88" i="74"/>
  <c r="G80" i="74"/>
  <c r="G787" i="103" s="1"/>
  <c r="H78" i="74"/>
  <c r="G85" i="74"/>
  <c r="G87" i="74"/>
  <c r="G794" i="103" s="1"/>
  <c r="K75" i="82"/>
  <c r="K76" i="82" s="1"/>
  <c r="H95" i="74"/>
  <c r="H802" i="103" s="1"/>
  <c r="F81" i="74"/>
  <c r="F788" i="103" s="1"/>
  <c r="D89" i="74"/>
  <c r="F809" i="103" l="1"/>
  <c r="F102" i="74"/>
  <c r="H90" i="74"/>
  <c r="B35" i="87"/>
  <c r="G797" i="103"/>
  <c r="F810" i="103"/>
  <c r="G792" i="103"/>
  <c r="E803" i="103"/>
  <c r="E804" i="103"/>
  <c r="E808" i="103"/>
  <c r="D97" i="74"/>
  <c r="D101" i="74"/>
  <c r="D96" i="74"/>
  <c r="E89" i="74"/>
  <c r="F84" i="74"/>
  <c r="F791" i="103" s="1"/>
  <c r="F796" i="103" s="1"/>
  <c r="H88" i="74"/>
  <c r="H80" i="74"/>
  <c r="H787" i="103" s="1"/>
  <c r="H79" i="74"/>
  <c r="H786" i="103" s="1"/>
  <c r="I78" i="74"/>
  <c r="H85" i="74"/>
  <c r="H87" i="74"/>
  <c r="H794" i="103" s="1"/>
  <c r="G81" i="74"/>
  <c r="G788" i="103" s="1"/>
  <c r="I95" i="74"/>
  <c r="I802" i="103" s="1"/>
  <c r="G102" i="74" l="1"/>
  <c r="G809" i="103"/>
  <c r="G810" i="103"/>
  <c r="I90" i="74"/>
  <c r="H797" i="103"/>
  <c r="B36" i="87"/>
  <c r="H792" i="103"/>
  <c r="H102" i="74"/>
  <c r="F803" i="103"/>
  <c r="F804" i="103"/>
  <c r="F808" i="103"/>
  <c r="E97" i="74"/>
  <c r="E101" i="74"/>
  <c r="E96" i="74"/>
  <c r="F89" i="74"/>
  <c r="G84" i="74"/>
  <c r="G791" i="103" s="1"/>
  <c r="G796" i="103" s="1"/>
  <c r="I88" i="74"/>
  <c r="I79" i="74"/>
  <c r="I786" i="103" s="1"/>
  <c r="J78" i="74"/>
  <c r="I80" i="74"/>
  <c r="I787" i="103" s="1"/>
  <c r="I85" i="74"/>
  <c r="I87" i="74"/>
  <c r="I794" i="103" s="1"/>
  <c r="H81" i="74"/>
  <c r="H788" i="103" s="1"/>
  <c r="J95" i="74"/>
  <c r="J802" i="103" s="1"/>
  <c r="H809" i="103" l="1"/>
  <c r="J90" i="74"/>
  <c r="B37" i="87"/>
  <c r="I797" i="103"/>
  <c r="H810" i="103"/>
  <c r="I792" i="103"/>
  <c r="I809" i="103" s="1"/>
  <c r="I102" i="74"/>
  <c r="G803" i="103"/>
  <c r="G804" i="103"/>
  <c r="G808" i="103"/>
  <c r="F101" i="74"/>
  <c r="F97" i="74"/>
  <c r="F96" i="74"/>
  <c r="J80" i="74"/>
  <c r="J787" i="103" s="1"/>
  <c r="K78" i="74"/>
  <c r="J79" i="74"/>
  <c r="J786" i="103" s="1"/>
  <c r="J88" i="74"/>
  <c r="J85" i="74"/>
  <c r="J87" i="74"/>
  <c r="J794" i="103" s="1"/>
  <c r="I81" i="74"/>
  <c r="I788" i="103" s="1"/>
  <c r="K95" i="74"/>
  <c r="K802" i="103" s="1"/>
  <c r="G89" i="74"/>
  <c r="H84" i="74"/>
  <c r="H791" i="103" s="1"/>
  <c r="H796" i="103" s="1"/>
  <c r="I810" i="103" l="1"/>
  <c r="K90" i="74"/>
  <c r="B38" i="87"/>
  <c r="J797" i="103"/>
  <c r="J792" i="103"/>
  <c r="H803" i="103"/>
  <c r="H804" i="103"/>
  <c r="H808" i="103"/>
  <c r="G97" i="74"/>
  <c r="G101" i="74"/>
  <c r="G96" i="74"/>
  <c r="H89" i="74"/>
  <c r="J81" i="74"/>
  <c r="J788" i="103" s="1"/>
  <c r="B125" i="74"/>
  <c r="B832" i="103" s="1"/>
  <c r="K80" i="74"/>
  <c r="K787" i="103" s="1"/>
  <c r="B108" i="74"/>
  <c r="K88" i="74"/>
  <c r="K79" i="74"/>
  <c r="K786" i="103" s="1"/>
  <c r="K85" i="74"/>
  <c r="K87" i="74"/>
  <c r="K794" i="103" s="1"/>
  <c r="I84" i="74"/>
  <c r="I791" i="103" s="1"/>
  <c r="I796" i="103" s="1"/>
  <c r="J102" i="74" l="1"/>
  <c r="J809" i="103"/>
  <c r="B120" i="74"/>
  <c r="K797" i="103"/>
  <c r="B39" i="87"/>
  <c r="K810" i="103"/>
  <c r="J810" i="103"/>
  <c r="K792" i="103"/>
  <c r="H101" i="74"/>
  <c r="H97" i="74"/>
  <c r="I803" i="103"/>
  <c r="I808" i="103"/>
  <c r="I804" i="103"/>
  <c r="H96" i="74"/>
  <c r="J84" i="74"/>
  <c r="J791" i="103" s="1"/>
  <c r="J796" i="103" s="1"/>
  <c r="K81" i="74"/>
  <c r="K788" i="103" s="1"/>
  <c r="C125" i="74"/>
  <c r="C832" i="103" s="1"/>
  <c r="I89" i="74"/>
  <c r="B109" i="74"/>
  <c r="B816" i="103" s="1"/>
  <c r="C108" i="74"/>
  <c r="B110" i="74"/>
  <c r="B817" i="103" s="1"/>
  <c r="B118" i="74"/>
  <c r="B115" i="74"/>
  <c r="B117" i="74"/>
  <c r="B824" i="103" s="1"/>
  <c r="K102" i="74" l="1"/>
  <c r="K809" i="103"/>
  <c r="C120" i="74"/>
  <c r="B827" i="103"/>
  <c r="B40" i="87"/>
  <c r="B822" i="103"/>
  <c r="J803" i="103"/>
  <c r="J804" i="103"/>
  <c r="J808" i="103"/>
  <c r="I97" i="74"/>
  <c r="I101" i="74"/>
  <c r="I96" i="74"/>
  <c r="J89" i="74"/>
  <c r="K84" i="74"/>
  <c r="K791" i="103" s="1"/>
  <c r="K796" i="103" s="1"/>
  <c r="D108" i="74"/>
  <c r="C109" i="74"/>
  <c r="C816" i="103" s="1"/>
  <c r="C118" i="74"/>
  <c r="C110" i="74"/>
  <c r="C817" i="103" s="1"/>
  <c r="C115" i="74"/>
  <c r="C117" i="74"/>
  <c r="C824" i="103" s="1"/>
  <c r="D125" i="74"/>
  <c r="D832" i="103" s="1"/>
  <c r="B111" i="74"/>
  <c r="B818" i="103" s="1"/>
  <c r="B132" i="74" l="1"/>
  <c r="B839" i="103"/>
  <c r="B840" i="103"/>
  <c r="D120" i="74"/>
  <c r="B41" i="87"/>
  <c r="C827" i="103"/>
  <c r="C822" i="103"/>
  <c r="C839" i="103" s="1"/>
  <c r="C132" i="74"/>
  <c r="K803" i="103"/>
  <c r="K804" i="103"/>
  <c r="K808" i="103"/>
  <c r="J101" i="74"/>
  <c r="J97" i="74"/>
  <c r="K89" i="74"/>
  <c r="J96" i="74"/>
  <c r="B114" i="74"/>
  <c r="B821" i="103" s="1"/>
  <c r="B826" i="103" s="1"/>
  <c r="C111" i="74"/>
  <c r="C818" i="103" s="1"/>
  <c r="E125" i="74"/>
  <c r="E832" i="103" s="1"/>
  <c r="D118" i="74"/>
  <c r="D109" i="74"/>
  <c r="D816" i="103" s="1"/>
  <c r="E108" i="74"/>
  <c r="D110" i="74"/>
  <c r="D817" i="103" s="1"/>
  <c r="D115" i="74"/>
  <c r="D117" i="74"/>
  <c r="D824" i="103" s="1"/>
  <c r="E120" i="74" l="1"/>
  <c r="D827" i="103"/>
  <c r="B42" i="87"/>
  <c r="C840" i="103"/>
  <c r="D822" i="103"/>
  <c r="B833" i="103"/>
  <c r="B834" i="103"/>
  <c r="B838" i="103"/>
  <c r="K97" i="74"/>
  <c r="K101" i="74"/>
  <c r="K96" i="74"/>
  <c r="B119" i="74"/>
  <c r="C114" i="74"/>
  <c r="C821" i="103" s="1"/>
  <c r="C826" i="103" s="1"/>
  <c r="F125" i="74"/>
  <c r="F832" i="103" s="1"/>
  <c r="F108" i="74"/>
  <c r="E109" i="74"/>
  <c r="E816" i="103" s="1"/>
  <c r="E118" i="74"/>
  <c r="E110" i="74"/>
  <c r="E817" i="103" s="1"/>
  <c r="E115" i="74"/>
  <c r="E117" i="74"/>
  <c r="E824" i="103" s="1"/>
  <c r="D111" i="74"/>
  <c r="D818" i="103" s="1"/>
  <c r="D132" i="74" l="1"/>
  <c r="D839" i="103"/>
  <c r="D840" i="103"/>
  <c r="F120" i="74"/>
  <c r="E827" i="103"/>
  <c r="B43" i="87"/>
  <c r="E822" i="103"/>
  <c r="C833" i="103"/>
  <c r="C834" i="103"/>
  <c r="C838" i="103"/>
  <c r="B127" i="74"/>
  <c r="B131" i="74"/>
  <c r="B126" i="74"/>
  <c r="C119" i="74"/>
  <c r="E111" i="74"/>
  <c r="E818" i="103" s="1"/>
  <c r="F118" i="74"/>
  <c r="F110" i="74"/>
  <c r="F817" i="103" s="1"/>
  <c r="F109" i="74"/>
  <c r="F816" i="103" s="1"/>
  <c r="F115" i="74"/>
  <c r="F117" i="74"/>
  <c r="F824" i="103" s="1"/>
  <c r="D114" i="74"/>
  <c r="D821" i="103" s="1"/>
  <c r="D826" i="103" s="1"/>
  <c r="E132" i="74" l="1"/>
  <c r="E839" i="103"/>
  <c r="F827" i="103"/>
  <c r="B44" i="87"/>
  <c r="F840" i="103"/>
  <c r="E840" i="103"/>
  <c r="F822" i="103"/>
  <c r="C127" i="74"/>
  <c r="C131" i="74"/>
  <c r="D833" i="103"/>
  <c r="D834" i="103"/>
  <c r="D838" i="103"/>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<sst xmlns="http://schemas.openxmlformats.org/spreadsheetml/2006/main" count="19328" uniqueCount="7129">
  <si>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</si>
  <si>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</si>
  <si>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</si>
  <si>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</si>
  <si>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</si>
  <si>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</si>
  <si>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</si>
  <si>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</si>
  <si>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</si>
  <si>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</si>
  <si>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</si>
  <si>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</si>
  <si>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</si>
  <si>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</si>
  <si>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</si>
  <si>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</si>
  <si>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</si>
  <si>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</si>
  <si>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</si>
  <si>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</si>
  <si>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</si>
  <si>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</si>
  <si>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</si>
  <si>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</si>
  <si>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</si>
  <si>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</si>
  <si>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</si>
  <si>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</si>
  <si>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</si>
  <si>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</si>
  <si>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</si>
  <si>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</si>
  <si>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</si>
  <si>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</si>
  <si>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</si>
  <si>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</si>
  <si>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</si>
  <si>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</si>
  <si>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</si>
  <si>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</si>
  <si>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</si>
  <si>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</si>
  <si>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</si>
  <si>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</si>
  <si>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</si>
  <si>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</si>
  <si>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</si>
  <si>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</si>
  <si>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</si>
  <si>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</si>
  <si>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</si>
  <si>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</si>
  <si>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</si>
  <si>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</si>
  <si>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</si>
  <si>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</si>
  <si>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</si>
  <si>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</si>
  <si>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</si>
  <si>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</si>
  <si>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</si>
  <si>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</si>
  <si>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</si>
  <si>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</si>
  <si>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</si>
  <si>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</si>
  <si>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</si>
  <si>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</si>
  <si>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</si>
  <si>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</si>
  <si>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</si>
  <si>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</si>
  <si>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</si>
  <si>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</si>
  <si>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</si>
  <si>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</si>
  <si>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</si>
  <si>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</si>
  <si>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</si>
  <si>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</si>
  <si>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</si>
  <si>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</si>
  <si>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</si>
  <si>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</si>
  <si>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</si>
  <si>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</si>
  <si>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</si>
  <si>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</si>
  <si>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</si>
  <si>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</si>
  <si>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</si>
  <si>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</si>
  <si>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</si>
  <si>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</si>
  <si>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</si>
  <si>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</si>
  <si>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</si>
  <si>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</si>
  <si>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</si>
  <si>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</si>
  <si>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</si>
  <si>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</si>
  <si>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</si>
  <si>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</si>
  <si>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</si>
  <si>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</si>
  <si>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</si>
  <si>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</si>
  <si>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</si>
  <si>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</si>
  <si>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</si>
  <si>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</si>
  <si>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</si>
  <si>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</si>
  <si>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</si>
  <si>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</si>
  <si>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</si>
  <si>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</si>
  <si>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</si>
  <si>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</si>
  <si>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</si>
  <si>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</si>
  <si>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</si>
  <si>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</si>
  <si>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</si>
  <si>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</si>
  <si>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</si>
  <si>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</si>
  <si>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</si>
  <si>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</si>
  <si>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</si>
  <si>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</si>
  <si>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</si>
  <si>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</si>
  <si>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</si>
  <si>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</si>
  <si>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</si>
  <si>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</si>
  <si>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</si>
  <si>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</si>
  <si>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</si>
  <si>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</si>
  <si>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</si>
  <si>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</si>
  <si>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</si>
  <si>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</si>
  <si>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</si>
  <si>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</si>
  <si>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</si>
  <si>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</si>
  <si>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</si>
  <si>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</si>
  <si>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</si>
  <si>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</si>
  <si>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</si>
  <si>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</si>
  <si>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</si>
  <si>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</si>
  <si>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</si>
  <si>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</si>
  <si>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</si>
  <si>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</si>
  <si>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</si>
  <si>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</si>
  <si>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</si>
  <si>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</si>
  <si>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</si>
  <si>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</si>
  <si>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</si>
  <si>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</si>
  <si>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</si>
  <si>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</si>
  <si>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</si>
  <si>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</si>
  <si>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</si>
  <si>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</si>
  <si>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</si>
  <si>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</si>
  <si>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</si>
  <si>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</si>
  <si>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</si>
  <si>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</si>
  <si>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</si>
  <si>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</si>
  <si>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</si>
  <si>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</si>
  <si>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</si>
  <si>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</si>
  <si>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</si>
  <si>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</si>
  <si>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</si>
  <si>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</si>
  <si>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</si>
  <si>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</si>
  <si>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</si>
  <si>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</si>
  <si>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</si>
  <si>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</si>
  <si>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</si>
  <si>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</si>
  <si>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</si>
  <si>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</si>
  <si>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</si>
  <si>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</si>
  <si>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</si>
  <si>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</si>
  <si>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</si>
  <si>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</si>
  <si>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</si>
  <si>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</si>
  <si>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</si>
  <si>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</si>
  <si>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</si>
  <si>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</si>
  <si>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</si>
  <si>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</si>
  <si>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</si>
  <si>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</si>
  <si>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</si>
  <si>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</si>
  <si>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</si>
  <si>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</si>
  <si>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</si>
  <si>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</si>
  <si>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</si>
  <si>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</si>
  <si>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</si>
  <si>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</si>
  <si>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</si>
  <si>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</si>
  <si>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</si>
  <si>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</si>
  <si>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</si>
  <si>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</si>
  <si>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</si>
  <si>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</si>
  <si>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</si>
  <si>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</si>
  <si>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</si>
  <si>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</si>
  <si>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</si>
  <si>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</si>
  <si>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</si>
  <si>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</si>
  <si>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</si>
  <si>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</si>
  <si>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</si>
  <si>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</si>
  <si>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</si>
  <si>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</si>
  <si>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</si>
  <si>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</si>
  <si>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</si>
  <si>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</si>
  <si>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</si>
  <si>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</si>
  <si>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</si>
  <si>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</si>
  <si>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</si>
  <si>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</si>
  <si>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</si>
  <si>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</si>
  <si>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</si>
  <si>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</si>
  <si>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</si>
  <si>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</si>
  <si>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</si>
  <si>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</si>
  <si>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</si>
  <si>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</si>
  <si>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</si>
  <si>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</si>
  <si>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</si>
  <si>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</si>
  <si>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</si>
  <si>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</si>
  <si>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</si>
  <si>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</si>
  <si>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</si>
  <si>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</si>
  <si>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</si>
  <si>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</si>
  <si>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</si>
  <si>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</si>
  <si>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</si>
  <si>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</si>
  <si>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</si>
  <si>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</si>
  <si>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</si>
  <si>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</si>
  <si>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</si>
  <si>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</si>
  <si>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</si>
  <si>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</si>
  <si>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</si>
  <si>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</si>
  <si>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</si>
  <si>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</si>
  <si>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</si>
  <si>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</si>
  <si>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</si>
  <si>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</si>
  <si>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</si>
  <si>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</si>
  <si>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</si>
  <si>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</si>
  <si>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</si>
  <si>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</si>
  <si>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</si>
  <si>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</si>
  <si>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</si>
  <si>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</si>
  <si>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</si>
  <si>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</si>
  <si>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</si>
  <si>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</si>
  <si>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</si>
  <si>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</si>
  <si>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</si>
  <si>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</si>
  <si>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</si>
  <si>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</si>
  <si>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</si>
  <si>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</si>
  <si>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</si>
  <si>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</si>
  <si>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</si>
  <si>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</si>
  <si>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</si>
  <si>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</si>
  <si>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</si>
  <si>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</si>
  <si>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</si>
  <si>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</si>
  <si>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</si>
  <si>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</si>
  <si>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</si>
  <si>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</si>
  <si>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</si>
  <si>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</si>
  <si>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</si>
  <si>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</si>
  <si>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</si>
  <si>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</si>
  <si>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</si>
  <si>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</si>
  <si>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</si>
  <si>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</si>
  <si>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</si>
  <si>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</si>
  <si>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</si>
  <si>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</si>
  <si>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</si>
  <si>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</si>
  <si>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</si>
  <si>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</si>
  <si>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</si>
  <si>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</si>
  <si>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</si>
  <si>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</si>
  <si>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</si>
  <si>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</si>
  <si>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</si>
  <si>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</si>
  <si>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</si>
  <si>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</si>
  <si>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</si>
  <si>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</si>
  <si>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</si>
  <si>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</si>
  <si>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</si>
  <si>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</si>
  <si>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</si>
  <si>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</si>
  <si>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</si>
  <si>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</si>
  <si>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</si>
  <si>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</si>
  <si>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</si>
  <si>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</si>
  <si>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</si>
  <si>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</si>
  <si>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</si>
  <si>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</si>
  <si>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</si>
  <si>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</si>
  <si>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</si>
  <si>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</si>
  <si>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</si>
  <si>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</si>
  <si>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</si>
  <si>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</si>
  <si>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</si>
  <si>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</si>
  <si>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</si>
  <si>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</si>
  <si>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</si>
  <si>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</si>
  <si>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</si>
  <si>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</si>
  <si>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</si>
  <si>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</si>
  <si>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</si>
  <si>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</si>
  <si>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</si>
  <si>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</si>
  <si>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</si>
  <si>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</si>
  <si>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</si>
  <si>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</si>
  <si>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</si>
  <si>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</si>
  <si>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</si>
  <si>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</si>
  <si>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</si>
  <si>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</si>
  <si>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</si>
  <si>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</si>
  <si>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</si>
  <si>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</si>
  <si>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</si>
  <si>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</si>
  <si>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</si>
  <si>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</si>
  <si>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</si>
  <si>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</si>
  <si>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</si>
  <si>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</si>
  <si>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</si>
  <si>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</si>
  <si>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</si>
  <si>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</si>
  <si>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</si>
  <si>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</si>
  <si>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</si>
  <si>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</si>
  <si>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</si>
  <si>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</si>
  <si>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</si>
  <si>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</si>
  <si>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</si>
  <si>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</si>
  <si>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</si>
  <si>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</si>
  <si>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</si>
  <si>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</si>
  <si>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</si>
  <si>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</si>
  <si>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</si>
  <si>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</si>
  <si>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</si>
  <si>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</si>
  <si>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</si>
  <si>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</si>
  <si>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</si>
  <si>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</si>
  <si>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</si>
  <si>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</si>
  <si>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</si>
  <si>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</si>
  <si>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</si>
  <si>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</si>
  <si>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</si>
  <si>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</si>
  <si>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</si>
  <si>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</si>
  <si>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</si>
  <si>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</si>
  <si>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</si>
  <si>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</si>
  <si>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</si>
  <si>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</si>
  <si>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</si>
  <si>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</si>
  <si>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</si>
  <si>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</si>
  <si>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</si>
  <si>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</si>
  <si>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</si>
  <si>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</si>
  <si>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</si>
  <si>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</si>
  <si>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</si>
  <si>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</si>
  <si>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</si>
  <si>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</si>
  <si>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</si>
  <si>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</si>
  <si>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</si>
  <si>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</si>
  <si>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</si>
  <si>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</si>
  <si>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</si>
  <si>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</si>
  <si>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</si>
  <si>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</si>
  <si>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</si>
  <si>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</si>
  <si>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</si>
  <si>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</si>
  <si>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</si>
  <si>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</si>
  <si>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</si>
  <si>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</si>
  <si>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</si>
  <si>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</si>
  <si>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</si>
  <si>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</si>
  <si>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</si>
  <si>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</si>
  <si>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</si>
  <si>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</si>
  <si>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</si>
  <si>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</si>
  <si>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</si>
  <si>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</si>
  <si>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</si>
  <si>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</si>
  <si>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</si>
  <si>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</si>
  <si>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</si>
  <si>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</si>
  <si>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</si>
  <si>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</si>
  <si>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</si>
  <si>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</si>
  <si>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</si>
  <si>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</si>
  <si>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</si>
  <si>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</si>
  <si>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</si>
  <si>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</si>
  <si>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</si>
  <si>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</si>
  <si>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</si>
  <si>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</si>
  <si>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</si>
  <si>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</si>
  <si>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</si>
  <si>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</si>
  <si>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</si>
  <si>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</si>
  <si>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</si>
  <si>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</si>
  <si>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</si>
  <si>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</si>
  <si>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</si>
  <si>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</si>
  <si>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</si>
  <si>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</si>
  <si>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</si>
  <si>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</si>
  <si>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</si>
  <si>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</si>
  <si>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</si>
  <si>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</si>
  <si>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</si>
  <si>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</si>
  <si>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</si>
  <si>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</si>
  <si>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</si>
  <si>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</si>
  <si>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</si>
  <si>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</si>
  <si>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</si>
  <si>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</si>
  <si>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</si>
  <si>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</si>
  <si>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</si>
  <si>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</si>
  <si>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</si>
  <si>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</si>
  <si>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</si>
  <si>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</si>
  <si>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</si>
  <si>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</si>
  <si>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</si>
  <si>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</si>
  <si>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</si>
  <si>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</si>
  <si>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</si>
  <si>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</si>
  <si>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</si>
  <si>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</si>
  <si>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</si>
  <si>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</si>
  <si>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</si>
  <si>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</si>
  <si>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</si>
  <si>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</si>
  <si>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</si>
  <si>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</si>
  <si>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</si>
  <si>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</si>
  <si>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</si>
  <si>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</si>
  <si>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</si>
  <si>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</si>
  <si>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</si>
  <si>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</si>
  <si>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</si>
  <si>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</si>
  <si>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</si>
  <si>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</si>
  <si>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</si>
  <si>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</si>
  <si>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</si>
  <si>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</si>
  <si>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</si>
  <si>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</si>
  <si>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</si>
  <si>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</si>
  <si>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</si>
  <si>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</si>
  <si>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</si>
  <si>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</si>
  <si>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</si>
  <si>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</si>
  <si>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</si>
  <si>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</si>
  <si>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</si>
  <si>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</si>
  <si>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</si>
  <si>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</si>
  <si>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</si>
  <si>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</si>
  <si>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</si>
  <si>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</si>
  <si>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</si>
  <si>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</si>
  <si>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</si>
  <si>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</si>
  <si>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</si>
  <si>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</si>
  <si>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</si>
  <si>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</si>
  <si>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</si>
  <si>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</si>
  <si>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</si>
  <si>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</si>
  <si>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</si>
  <si>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</si>
  <si>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</si>
  <si>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</si>
  <si>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</si>
  <si>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</si>
  <si>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</si>
  <si>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</si>
  <si>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</si>
  <si>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</si>
  <si>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</si>
  <si>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</si>
  <si>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</si>
  <si>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</si>
  <si>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</si>
  <si>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</si>
  <si>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</si>
  <si>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</si>
  <si>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</si>
  <si>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</si>
  <si>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</si>
  <si>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</si>
  <si>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</si>
  <si>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</si>
  <si>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</si>
  <si>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</si>
  <si>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</si>
  <si>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</si>
  <si>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</si>
  <si>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</si>
  <si>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</si>
  <si>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</si>
  <si>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</si>
  <si>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</si>
  <si>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</si>
  <si>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</si>
  <si>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</si>
  <si>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</si>
  <si>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</si>
  <si>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</si>
  <si>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</si>
  <si>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</si>
  <si>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</si>
  <si>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</si>
  <si>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</si>
  <si>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</si>
  <si>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</si>
  <si>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</si>
  <si>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</si>
  <si>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</si>
  <si>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</si>
  <si>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</si>
  <si>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</si>
  <si>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</si>
  <si>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</si>
  <si>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</si>
  <si>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</si>
  <si>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</si>
  <si>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</si>
  <si>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</si>
  <si>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</si>
  <si>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</si>
  <si>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</si>
  <si>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</si>
  <si>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</si>
  <si>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</si>
  <si>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</si>
  <si>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</si>
  <si>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</si>
  <si>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</si>
  <si>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</si>
  <si>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</si>
  <si>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</si>
  <si>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</si>
  <si>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</si>
  <si>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</si>
  <si>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</si>
  <si>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</si>
  <si>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</si>
  <si>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</si>
  <si>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</si>
  <si>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</si>
  <si>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</si>
  <si>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</si>
  <si>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</si>
  <si>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</si>
  <si>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</si>
  <si>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</si>
  <si>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</si>
  <si>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</si>
  <si>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</si>
  <si>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</si>
  <si>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</si>
  <si>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</si>
  <si>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</si>
  <si>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</si>
  <si>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</si>
  <si>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</si>
  <si>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</si>
  <si>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</si>
  <si>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</si>
  <si>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</si>
  <si>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</si>
  <si>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</si>
  <si>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</si>
  <si>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</si>
  <si>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</si>
  <si>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</si>
  <si>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</si>
  <si>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</si>
  <si>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</si>
  <si>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</si>
  <si>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</si>
  <si>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</si>
  <si>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</si>
  <si>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</si>
  <si>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</si>
  <si>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</si>
  <si>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</si>
  <si>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</si>
  <si>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</si>
  <si>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</si>
  <si>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</si>
  <si>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</si>
  <si>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</si>
  <si>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</si>
  <si>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</si>
  <si>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</si>
  <si>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</si>
  <si>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</si>
  <si>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</si>
  <si>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</si>
  <si>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</si>
  <si>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</si>
  <si>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</si>
  <si>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</si>
  <si>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</si>
  <si>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</si>
  <si>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</si>
  <si>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</si>
  <si>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</si>
  <si>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</si>
  <si>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</si>
  <si>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</si>
  <si>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</si>
  <si>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</si>
  <si>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</si>
  <si>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</si>
  <si>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</si>
  <si>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</si>
  <si>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</si>
  <si>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</si>
  <si>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</si>
  <si>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</si>
  <si>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</si>
  <si>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</si>
  <si>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</si>
  <si>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</si>
  <si>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</si>
  <si>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</si>
  <si>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</si>
  <si>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</si>
  <si>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</si>
  <si>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</si>
  <si>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</si>
  <si>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</si>
  <si>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</si>
  <si>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</si>
  <si>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</si>
  <si>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</si>
  <si>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</si>
  <si>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</si>
  <si>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</si>
  <si>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</si>
  <si>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</si>
  <si>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</si>
  <si>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</si>
  <si>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</si>
  <si>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</si>
  <si>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</si>
  <si>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</si>
  <si>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</si>
  <si>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</si>
  <si>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</si>
  <si>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</si>
  <si>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</si>
  <si>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</si>
  <si>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</si>
  <si>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</si>
  <si>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</si>
  <si>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</si>
  <si>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</si>
  <si>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</si>
  <si>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</si>
  <si>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</si>
  <si>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</si>
  <si>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</si>
  <si>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</si>
  <si>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</si>
  <si>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</si>
  <si>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</si>
  <si>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</si>
  <si>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</si>
  <si>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</si>
  <si>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</si>
  <si>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</si>
  <si>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</si>
  <si>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</si>
  <si>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</si>
  <si>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</si>
  <si>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</si>
  <si>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</si>
  <si>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</si>
  <si>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</si>
  <si>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</si>
  <si>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</si>
  <si>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</si>
  <si>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</si>
  <si>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</si>
  <si>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</si>
  <si>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</si>
  <si>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</si>
  <si>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</si>
  <si>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</si>
  <si>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</si>
  <si>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</si>
  <si>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</si>
  <si>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</si>
  <si>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</si>
  <si>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</si>
  <si>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</si>
  <si>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</si>
  <si>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</si>
  <si>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</si>
  <si>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</si>
  <si>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</si>
  <si>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</si>
  <si>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</si>
  <si>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</si>
  <si>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</si>
  <si>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</si>
  <si>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</si>
  <si>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</si>
  <si>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</si>
  <si>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</si>
  <si>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</si>
  <si>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</si>
  <si>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</si>
  <si>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</si>
  <si>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</si>
  <si>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</si>
  <si>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</si>
  <si>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</si>
  <si>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</si>
  <si>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</si>
  <si>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</si>
  <si>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</si>
  <si>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</si>
  <si>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</si>
  <si>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</si>
  <si>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</si>
  <si>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</si>
  <si>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</si>
  <si>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</si>
  <si>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</si>
  <si>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</si>
  <si>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</si>
  <si>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</si>
  <si>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</si>
  <si>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</si>
  <si>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</si>
  <si>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</si>
  <si>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</si>
  <si>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</si>
  <si>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</si>
  <si>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</si>
  <si>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</si>
  <si>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</si>
  <si>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</si>
  <si>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</si>
  <si>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</si>
  <si>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</si>
  <si>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</si>
  <si>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</si>
  <si>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</si>
  <si>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</si>
  <si>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</si>
  <si>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</si>
  <si>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</si>
  <si>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</si>
  <si>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</si>
  <si>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</si>
  <si>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</si>
  <si>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</si>
  <si>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</si>
  <si>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</si>
  <si>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</si>
  <si>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</si>
  <si>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</si>
  <si>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</si>
  <si>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</si>
  <si>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</si>
  <si>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</si>
  <si>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</si>
  <si>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</si>
  <si>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</si>
  <si>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</si>
  <si>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</si>
  <si>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</si>
  <si>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</si>
  <si>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</si>
  <si>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</si>
  <si>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</si>
  <si>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</si>
  <si>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</si>
  <si>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</si>
  <si>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</si>
  <si>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</si>
  <si>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</si>
  <si>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</si>
  <si>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</si>
  <si>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</si>
  <si>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</si>
  <si>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</si>
  <si>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</si>
  <si>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</si>
  <si>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</si>
  <si>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</si>
  <si>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</si>
  <si>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</si>
  <si>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</si>
  <si>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</si>
  <si>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</si>
  <si>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</si>
  <si>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</si>
  <si>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</si>
  <si>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</si>
  <si>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</si>
  <si>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</si>
  <si>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</si>
  <si>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</si>
  <si>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</si>
  <si>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</si>
  <si>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</si>
  <si>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</si>
  <si>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</si>
  <si>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</si>
  <si>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</si>
  <si>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</si>
  <si>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</si>
  <si>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</si>
  <si>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</si>
  <si>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</si>
  <si>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</si>
  <si>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</si>
  <si>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</si>
  <si>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</si>
  <si>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</si>
  <si>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</si>
  <si>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</si>
  <si>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</si>
  <si>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</si>
  <si>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</si>
  <si>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</si>
  <si>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</si>
  <si>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</si>
  <si>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</si>
  <si>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</si>
  <si>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</si>
  <si>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</si>
  <si>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</si>
  <si>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</si>
  <si>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</si>
  <si>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</si>
  <si>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</si>
  <si>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</si>
  <si>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</si>
  <si>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</si>
  <si>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</si>
  <si>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</si>
  <si>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</si>
  <si>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</si>
  <si>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</si>
  <si>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</si>
  <si>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</si>
  <si>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</si>
  <si>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</si>
  <si>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</si>
  <si>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</si>
  <si>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</si>
  <si>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</si>
  <si>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</si>
  <si>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</si>
  <si>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</si>
  <si>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</si>
  <si>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</si>
  <si>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</si>
  <si>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</si>
  <si>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</si>
  <si>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</si>
  <si>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</si>
  <si>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</si>
  <si>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</si>
  <si>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</si>
  <si>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</si>
  <si>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</si>
  <si>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</si>
  <si>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</si>
  <si>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</si>
  <si>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</si>
  <si>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</si>
  <si>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</si>
  <si>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</si>
  <si>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</si>
  <si>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</si>
  <si>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</si>
  <si>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</si>
  <si>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</si>
  <si>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</si>
  <si>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</si>
  <si>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</si>
  <si>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</si>
  <si>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</si>
  <si>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</si>
  <si>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</si>
  <si>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</si>
  <si>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</si>
  <si>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</si>
  <si>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</si>
  <si>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</si>
  <si>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</si>
  <si>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</si>
  <si>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</si>
  <si>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</si>
  <si>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</si>
  <si>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</si>
  <si>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</si>
  <si>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</si>
  <si>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</si>
  <si>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</si>
  <si>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</si>
  <si>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</si>
  <si>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</si>
  <si>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</si>
  <si>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</si>
  <si>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</si>
  <si>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</si>
  <si>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</si>
  <si>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</si>
  <si>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</si>
  <si>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</si>
  <si>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</si>
  <si>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</si>
  <si>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</si>
  <si>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</si>
  <si>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</si>
  <si>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</si>
  <si>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</si>
  <si>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</si>
  <si>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</si>
  <si>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</si>
  <si>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</si>
  <si>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</si>
  <si>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</si>
  <si>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</si>
  <si>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</si>
  <si>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</si>
  <si>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</si>
  <si>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</si>
  <si>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</si>
  <si>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</si>
  <si>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</si>
  <si>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</si>
  <si>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</si>
  <si>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</si>
  <si>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</si>
  <si>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</si>
  <si>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</si>
  <si>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</si>
  <si>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</si>
  <si>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</si>
  <si>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</si>
  <si>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</si>
  <si>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</si>
  <si>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</si>
  <si>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</si>
  <si>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</si>
  <si>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</si>
  <si>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</si>
  <si>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</si>
  <si>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</si>
  <si>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</si>
  <si>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</si>
  <si>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</si>
  <si>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</si>
  <si>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</si>
  <si>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</si>
  <si>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</si>
  <si>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</si>
  <si>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</si>
  <si>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</si>
  <si>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</si>
  <si>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</si>
  <si>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</si>
  <si>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</si>
  <si>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</si>
  <si>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</si>
  <si>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</si>
  <si>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</si>
  <si>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</si>
  <si>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</si>
  <si>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</si>
  <si>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</si>
  <si>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</si>
  <si>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</si>
  <si>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</si>
  <si>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</si>
  <si>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</si>
  <si>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</si>
  <si>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</si>
  <si>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</si>
  <si>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</si>
  <si>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</si>
  <si>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</si>
  <si>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</si>
  <si>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</si>
  <si>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</si>
  <si>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</si>
  <si>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</si>
  <si>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</si>
  <si>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</si>
  <si>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</si>
  <si>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</si>
  <si>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</si>
  <si>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</si>
  <si>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</si>
  <si>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</si>
  <si>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</si>
  <si>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</si>
  <si>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</si>
  <si>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</si>
  <si>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</si>
  <si>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</si>
  <si>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</si>
  <si>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</si>
  <si>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</si>
  <si>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</si>
  <si>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</si>
  <si>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</si>
  <si>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</si>
  <si>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</si>
  <si>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</si>
  <si>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</si>
  <si>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</si>
  <si>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</si>
  <si>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</si>
  <si>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</si>
  <si>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</si>
  <si>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</si>
  <si>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</si>
  <si>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</si>
  <si>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</si>
  <si>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</si>
  <si>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</si>
  <si>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</si>
  <si>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</si>
  <si>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</si>
  <si>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</si>
  <si>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</si>
  <si>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</si>
  <si>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</si>
  <si>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</si>
  <si>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</si>
  <si>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</si>
  <si>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</si>
  <si>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</si>
  <si>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</si>
  <si>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</si>
  <si>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</si>
  <si>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</si>
  <si>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</si>
  <si>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</si>
  <si>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</si>
  <si>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</si>
  <si>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</si>
  <si>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</si>
  <si>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</si>
  <si>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</si>
  <si>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</si>
  <si>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</si>
  <si>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</si>
  <si>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</si>
  <si>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</si>
  <si>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</si>
  <si>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</si>
  <si>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</si>
  <si>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</si>
  <si>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</si>
  <si>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</si>
  <si>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</si>
  <si>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</si>
  <si>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</si>
  <si>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</si>
  <si>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</si>
  <si>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</si>
  <si>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</si>
  <si>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</si>
  <si>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</si>
  <si>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</si>
  <si>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</si>
  <si>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</si>
  <si>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</si>
  <si>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</si>
  <si>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</si>
  <si>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</si>
  <si>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</si>
  <si>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</si>
  <si>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</si>
  <si>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</si>
  <si>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</si>
  <si>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</si>
  <si>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</si>
  <si>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</si>
  <si>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</si>
  <si>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</si>
  <si>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</si>
  <si>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</si>
  <si>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</si>
  <si>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</si>
  <si>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</si>
  <si>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</si>
  <si>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</si>
  <si>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</si>
  <si>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</si>
  <si>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</si>
  <si>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</si>
  <si>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</si>
  <si>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</si>
  <si>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</si>
  <si>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</si>
  <si>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</si>
  <si>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</si>
  <si>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</si>
  <si>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</si>
  <si>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</si>
  <si>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</si>
  <si>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</si>
  <si>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</si>
  <si>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</si>
  <si>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</si>
  <si>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</si>
  <si>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</si>
  <si>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</si>
  <si>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</si>
  <si>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</si>
  <si>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</si>
  <si>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</si>
  <si>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</si>
  <si>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</si>
  <si>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</si>
  <si>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</si>
  <si>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</si>
  <si>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</si>
  <si>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</si>
  <si>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</si>
  <si>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</si>
  <si>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</si>
  <si>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</si>
  <si>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</si>
  <si>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</si>
  <si>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</si>
  <si>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</si>
  <si>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</si>
  <si>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</si>
  <si>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</si>
  <si>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</si>
  <si>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</si>
  <si>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</si>
  <si>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</si>
  <si>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</si>
  <si>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</si>
  <si>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</si>
  <si>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</si>
  <si>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</si>
  <si>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</si>
  <si>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</si>
  <si>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</si>
  <si>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</si>
  <si>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</si>
  <si>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</si>
  <si>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</si>
  <si>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</si>
  <si>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</si>
  <si>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</si>
  <si>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</si>
  <si>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</si>
  <si>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</si>
  <si>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</si>
  <si>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</si>
  <si>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</si>
  <si>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</si>
  <si>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</si>
  <si>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</si>
  <si>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</si>
  <si>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</si>
  <si>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</si>
  <si>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</si>
  <si>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</si>
  <si>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</si>
  <si>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</si>
  <si>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</si>
  <si>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</si>
  <si>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</si>
  <si>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</si>
  <si>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</si>
  <si>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</si>
  <si>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</si>
  <si>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</si>
  <si>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</si>
  <si>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</si>
  <si>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</si>
  <si>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</si>
  <si>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</si>
  <si>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</si>
  <si>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</si>
  <si>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</si>
  <si>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</si>
  <si>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</si>
  <si>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</si>
  <si>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</si>
  <si>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</si>
  <si>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</si>
  <si>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</si>
  <si>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</si>
  <si>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</si>
  <si>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</si>
  <si>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</si>
  <si>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</si>
  <si>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</si>
  <si>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</si>
  <si>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</si>
  <si>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</si>
  <si>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</si>
  <si>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</si>
  <si>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</si>
  <si>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</si>
  <si>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</si>
  <si>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</si>
  <si>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</si>
  <si>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</si>
  <si>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</si>
  <si>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</si>
  <si>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</si>
  <si>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</si>
  <si>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</si>
  <si>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</si>
  <si>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</si>
  <si>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</si>
  <si>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</si>
  <si>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</si>
  <si>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</si>
  <si>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</si>
  <si>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</si>
  <si>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</si>
  <si>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</si>
  <si>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</si>
  <si>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</si>
  <si>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</si>
  <si>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</si>
  <si>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</si>
  <si>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</si>
  <si>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</si>
  <si>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</si>
  <si>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</si>
  <si>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</si>
  <si>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</si>
  <si>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</si>
  <si>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</si>
  <si>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</si>
  <si>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</si>
  <si>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</si>
  <si>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</si>
  <si>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</si>
  <si>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</si>
  <si>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</si>
  <si>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</si>
  <si>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</si>
  <si>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</si>
  <si>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</si>
  <si>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</si>
  <si>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</si>
  <si>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</si>
  <si>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</si>
  <si>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</si>
  <si>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</si>
  <si>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</si>
  <si>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</si>
  <si>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</si>
  <si>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</si>
  <si>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</si>
  <si>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</si>
  <si>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</si>
  <si>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</si>
  <si>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</si>
  <si>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</si>
  <si>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</si>
  <si>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</si>
  <si>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</si>
  <si>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</si>
  <si>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</si>
  <si>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</si>
  <si>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</si>
  <si>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</si>
  <si>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</si>
  <si>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</si>
  <si>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</si>
  <si>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</si>
  <si>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</si>
  <si>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</si>
  <si>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</si>
  <si>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</si>
  <si>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</si>
  <si>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</si>
  <si>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</si>
  <si>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</si>
  <si>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</si>
  <si>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</si>
  <si>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</si>
  <si>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</si>
  <si>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</si>
  <si>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</si>
  <si>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</si>
  <si>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</si>
  <si>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</si>
  <si>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</si>
  <si>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</si>
  <si>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</si>
  <si>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</si>
  <si>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</si>
  <si>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</si>
  <si>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</si>
  <si>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</si>
  <si>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</si>
  <si>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</si>
  <si>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</si>
  <si>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</si>
  <si>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</si>
  <si>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</si>
  <si>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</si>
  <si>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</si>
  <si>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</si>
  <si>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</si>
  <si>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</si>
  <si>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</si>
  <si>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</si>
  <si>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</si>
  <si>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</si>
  <si>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</si>
  <si>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</si>
  <si>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</si>
  <si>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</si>
  <si>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</si>
  <si>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</si>
  <si>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</si>
  <si>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</si>
  <si>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</si>
  <si>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</si>
  <si>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</si>
  <si>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</si>
  <si>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</si>
  <si>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</si>
  <si>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</si>
  <si>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</si>
  <si>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</si>
  <si>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</si>
  <si>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</si>
  <si>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</si>
  <si>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</si>
  <si>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</si>
  <si>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</si>
  <si>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</si>
  <si>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</si>
  <si>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</si>
  <si>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</si>
  <si>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</si>
  <si>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</si>
  <si>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</si>
  <si>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</si>
  <si>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</si>
  <si>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</si>
  <si>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</si>
  <si>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</si>
  <si>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</si>
  <si>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</si>
  <si>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</si>
  <si>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</si>
  <si>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</si>
  <si>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</si>
  <si>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</si>
  <si>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</si>
  <si>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</si>
  <si>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</si>
  <si>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</si>
  <si>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</si>
  <si>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</si>
  <si>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</si>
  <si>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</si>
  <si>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</si>
  <si>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</si>
  <si>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</si>
  <si>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</si>
  <si>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</si>
  <si>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</si>
  <si>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</si>
  <si>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</si>
  <si>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</si>
  <si>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</si>
  <si>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</si>
  <si>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</si>
  <si>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</si>
  <si>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</si>
  <si>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</si>
  <si>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</si>
  <si>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</si>
  <si>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</si>
  <si>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</si>
  <si>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</si>
  <si>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</si>
  <si>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</si>
  <si>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</si>
  <si>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</si>
  <si>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</si>
  <si>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</si>
  <si>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</si>
  <si>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</si>
  <si>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</si>
  <si>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</si>
  <si>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</si>
  <si>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</si>
  <si>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</si>
  <si>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</si>
  <si>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</si>
  <si>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</si>
  <si>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</si>
  <si>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</si>
  <si>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</si>
  <si>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</si>
  <si>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</si>
  <si>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</si>
  <si>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</si>
  <si>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</si>
  <si>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</si>
  <si>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</si>
  <si>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</si>
  <si>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</si>
  <si>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</si>
  <si>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</si>
  <si>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</si>
  <si>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</si>
  <si>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</si>
  <si>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</si>
  <si>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</si>
  <si>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</si>
  <si>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</si>
  <si>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</si>
  <si>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</si>
  <si>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</si>
  <si>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</si>
  <si>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</si>
  <si>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</si>
  <si>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</si>
  <si>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</si>
  <si>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</si>
  <si>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</si>
  <si>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</si>
  <si>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</si>
  <si>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</si>
  <si>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</si>
  <si>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</si>
  <si>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</si>
  <si>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</si>
  <si>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</si>
  <si>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</si>
  <si>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</si>
  <si>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</si>
  <si>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</si>
  <si>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</si>
  <si>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</si>
  <si>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</si>
  <si>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</si>
  <si>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</si>
  <si>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</si>
  <si>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</si>
  <si>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</si>
  <si>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</si>
  <si>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</si>
  <si>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</si>
  <si>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</si>
  <si>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</si>
  <si>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</si>
  <si>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</si>
  <si>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</si>
  <si>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</si>
  <si>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</si>
  <si>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</si>
  <si>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</si>
  <si>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</si>
  <si>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</si>
  <si>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</si>
  <si>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</si>
  <si>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</si>
  <si>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</si>
  <si>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</si>
  <si>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</si>
  <si>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</si>
  <si>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</si>
  <si>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</si>
  <si>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</si>
  <si>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</si>
  <si>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</si>
  <si>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</si>
  <si>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</si>
  <si>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</si>
  <si>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</si>
  <si>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</si>
  <si>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</si>
  <si>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</si>
  <si>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</si>
  <si>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</si>
  <si>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</si>
  <si>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</si>
  <si>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</si>
  <si>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</si>
  <si>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</si>
  <si>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</si>
  <si>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</si>
  <si>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</si>
  <si>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</si>
  <si>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</si>
  <si>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</si>
  <si>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</si>
  <si>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</si>
  <si>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</si>
  <si>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</si>
  <si>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</si>
  <si>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</si>
  <si>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</si>
  <si>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</si>
  <si>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</si>
  <si>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</si>
  <si>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</si>
  <si>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</si>
  <si>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</si>
  <si>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</si>
  <si>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</si>
  <si>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</si>
  <si>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</si>
  <si>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</si>
  <si>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</si>
  <si>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</si>
  <si>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</si>
  <si>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</si>
  <si>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</si>
  <si>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</si>
  <si>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</si>
  <si>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</si>
  <si>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</si>
  <si>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</si>
  <si>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</si>
  <si>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</si>
  <si>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</si>
  <si>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</si>
  <si>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</si>
  <si>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</si>
  <si>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</si>
  <si>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</si>
  <si>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</si>
  <si>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</si>
  <si>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</si>
  <si>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</si>
  <si>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</si>
  <si>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</si>
  <si>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</si>
  <si>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</si>
  <si>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</si>
  <si>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</si>
  <si>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</si>
  <si>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</si>
  <si>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</si>
  <si>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</si>
  <si>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</si>
  <si>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</si>
  <si>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</si>
  <si>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</si>
  <si>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</si>
  <si>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</si>
  <si>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</si>
  <si>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</si>
  <si>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</si>
  <si>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</si>
  <si>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</si>
  <si>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</si>
  <si>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</si>
  <si>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</si>
  <si>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</si>
  <si>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</si>
  <si>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</si>
  <si>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</si>
  <si>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</si>
  <si>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</si>
  <si>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</si>
  <si>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</si>
  <si>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</si>
  <si>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</si>
  <si>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</si>
  <si>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</si>
  <si>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</si>
  <si>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</si>
  <si>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</si>
  <si>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</si>
  <si>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</si>
  <si>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</si>
  <si>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</si>
  <si>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</si>
  <si>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</si>
  <si>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</si>
  <si>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</si>
  <si>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</si>
  <si>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</si>
  <si>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</si>
  <si>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</si>
  <si>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</si>
  <si>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</si>
  <si>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</si>
  <si>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</si>
  <si>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</si>
  <si>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</si>
  <si>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</si>
  <si>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</si>
  <si>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</si>
  <si>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</si>
  <si>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</si>
  <si>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</si>
  <si>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</si>
  <si>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</si>
  <si>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</si>
  <si>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</si>
  <si>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</si>
  <si>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</si>
  <si>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</si>
  <si>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</si>
  <si>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</si>
  <si>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</si>
  <si>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</si>
  <si>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</si>
  <si>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</si>
  <si>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</si>
  <si>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</si>
  <si>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</si>
  <si>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</si>
  <si>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</si>
  <si>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</si>
  <si>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</si>
  <si>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</si>
  <si>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</si>
  <si>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</si>
  <si>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</si>
  <si>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</si>
  <si>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</si>
  <si>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</si>
  <si>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</si>
  <si>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</si>
  <si>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</si>
  <si>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</si>
  <si>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</si>
  <si>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</si>
  <si>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</si>
  <si>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</si>
  <si>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</si>
  <si>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</si>
  <si>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</si>
  <si>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</si>
  <si>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</si>
  <si>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</si>
  <si>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</si>
  <si>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</si>
  <si>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</si>
  <si>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</si>
  <si>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</si>
  <si>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</si>
  <si>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</si>
  <si>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</si>
  <si>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</si>
  <si>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</si>
  <si>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</si>
  <si>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</si>
  <si>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</si>
  <si>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</si>
  <si>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</si>
  <si>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</si>
  <si>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</si>
  <si>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</si>
  <si>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</si>
  <si>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</si>
  <si>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</si>
  <si>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</si>
  <si>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</si>
  <si>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</si>
  <si>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</si>
  <si>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</si>
  <si>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</si>
  <si>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</si>
  <si>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</si>
  <si>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</si>
  <si>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</si>
  <si>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</si>
  <si>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</si>
  <si>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</si>
  <si>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</si>
  <si>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</si>
  <si>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</si>
  <si>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</si>
  <si>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</si>
  <si>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</si>
  <si>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</si>
  <si>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</si>
  <si>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</si>
  <si>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</si>
  <si>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</si>
  <si>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</si>
  <si>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</si>
  <si>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</si>
  <si>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</si>
  <si>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</si>
  <si>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</si>
  <si>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</si>
  <si>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</si>
  <si>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</si>
  <si>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</si>
  <si>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</si>
  <si>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</si>
  <si>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</si>
  <si>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</si>
  <si>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</si>
  <si>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</si>
  <si>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</si>
  <si>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</si>
  <si>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</si>
  <si>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</si>
  <si>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</si>
  <si>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</si>
  <si>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</si>
  <si>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</si>
  <si>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</si>
  <si>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</si>
  <si>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</si>
  <si>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</si>
  <si>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</si>
  <si>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</si>
  <si>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</si>
  <si>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</si>
  <si>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</si>
  <si>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</si>
  <si>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</si>
  <si>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</si>
  <si>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</si>
  <si>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</si>
  <si>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</si>
  <si>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</si>
  <si>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</si>
  <si>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</si>
  <si>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</si>
  <si>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</si>
  <si>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</si>
  <si>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</si>
  <si>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</si>
  <si>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</si>
  <si>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</si>
  <si>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</si>
  <si>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</si>
  <si>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</si>
  <si>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</si>
  <si>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</si>
  <si>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</si>
  <si>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</si>
  <si>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</si>
  <si>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</si>
  <si>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</si>
  <si>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</si>
  <si>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</si>
  <si>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</si>
  <si>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</si>
  <si>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</si>
  <si>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</si>
  <si>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</si>
  <si>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</si>
  <si>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</si>
  <si>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</si>
  <si>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</si>
  <si>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</si>
  <si>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</si>
  <si>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</si>
  <si>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</si>
  <si>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</si>
  <si>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</si>
  <si>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</si>
  <si>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</si>
  <si>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</si>
  <si>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</si>
  <si>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</si>
  <si>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</si>
  <si>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</si>
  <si>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</si>
  <si>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</si>
  <si>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</si>
  <si>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</si>
  <si>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</si>
  <si>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</si>
  <si>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</si>
  <si>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</si>
  <si>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</si>
  <si>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</si>
  <si>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</si>
  <si>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</si>
  <si>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</si>
  <si>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</si>
  <si>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</si>
  <si>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</si>
  <si>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</si>
  <si>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</si>
  <si>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</si>
  <si>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</si>
  <si>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</si>
  <si>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</si>
  <si>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</si>
  <si>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</si>
  <si>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</si>
  <si>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</si>
  <si>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</si>
  <si>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</si>
  <si>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</si>
  <si>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</si>
  <si>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</si>
  <si>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</si>
  <si>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</si>
  <si>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</si>
  <si>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</si>
  <si>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</si>
  <si>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</si>
  <si>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</si>
  <si>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</si>
  <si>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</si>
  <si>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</si>
  <si>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</si>
  <si>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</si>
  <si>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</si>
  <si>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</si>
  <si>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</si>
  <si>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</si>
  <si>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</si>
  <si>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</si>
  <si>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</si>
  <si>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</si>
  <si>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</si>
  <si>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</si>
  <si>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</si>
  <si>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</si>
  <si>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</si>
  <si>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</si>
  <si>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</si>
  <si>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</si>
  <si>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</si>
  <si>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</si>
  <si>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</si>
  <si>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</si>
  <si>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</si>
  <si>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</si>
  <si>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</si>
  <si>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</si>
  <si>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</si>
  <si>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</si>
  <si>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</si>
  <si>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</si>
  <si>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</si>
  <si>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</si>
  <si>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</si>
  <si>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</si>
  <si>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</si>
  <si>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</si>
  <si>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</si>
  <si>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</si>
  <si>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</si>
  <si>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</si>
  <si>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</si>
  <si>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</si>
  <si>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</si>
  <si>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</si>
  <si>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</si>
  <si>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</si>
  <si>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</si>
  <si>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</si>
  <si>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</si>
  <si>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</si>
  <si>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</si>
  <si>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</si>
  <si>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</si>
  <si>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</si>
  <si>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</si>
  <si>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</si>
  <si>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</si>
  <si>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</si>
  <si>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</si>
  <si>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</si>
  <si>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</si>
  <si>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</si>
  <si>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</si>
  <si>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</si>
  <si>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</si>
  <si>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</si>
  <si>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</si>
  <si>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</si>
  <si>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</si>
  <si>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</si>
  <si>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</si>
  <si>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</si>
  <si>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</si>
  <si>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</si>
  <si>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</si>
  <si>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</si>
  <si>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</si>
  <si>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</si>
  <si>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</si>
  <si>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</si>
  <si>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</si>
  <si>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</si>
  <si>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</si>
  <si>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</si>
  <si>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</si>
  <si>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</si>
  <si>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</si>
  <si>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</si>
  <si>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</si>
  <si>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</si>
  <si>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</si>
  <si>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</si>
  <si>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</si>
  <si>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</si>
  <si>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</si>
  <si>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</si>
  <si>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</si>
  <si>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</si>
  <si>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</si>
  <si>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</si>
  <si>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</si>
  <si>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</si>
  <si>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</si>
  <si>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</si>
  <si>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</si>
  <si>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</si>
  <si>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</si>
  <si>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</si>
  <si>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</si>
  <si>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</si>
  <si>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</si>
  <si>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</si>
  <si>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</si>
  <si>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</si>
  <si>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</si>
  <si>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</si>
  <si>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</si>
  <si>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</si>
  <si>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</si>
  <si>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</si>
  <si>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</si>
  <si>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</si>
  <si>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</si>
  <si>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</si>
  <si>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</si>
  <si>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</si>
  <si>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</si>
  <si>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</si>
  <si>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</si>
  <si>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</si>
  <si>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</si>
  <si>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</si>
  <si>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</si>
  <si>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</si>
  <si>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</si>
  <si>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</si>
  <si>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</si>
  <si>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</si>
  <si>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</si>
  <si>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</si>
  <si>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</si>
  <si>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</si>
  <si>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</si>
  <si>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</si>
  <si>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</si>
  <si>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</si>
  <si>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</si>
  <si>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</si>
  <si>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</si>
  <si>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</si>
  <si>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</si>
  <si>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</si>
  <si>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</si>
  <si>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</si>
  <si>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</si>
  <si>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</si>
  <si>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</si>
  <si>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</si>
  <si>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</si>
  <si>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</si>
  <si>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</si>
  <si>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</si>
  <si>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</si>
  <si>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</si>
  <si>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</si>
  <si>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</si>
  <si>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</si>
  <si>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</si>
  <si>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</si>
  <si>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</si>
  <si>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</si>
  <si>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</si>
  <si>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</si>
  <si>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</si>
  <si>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</si>
  <si>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</si>
  <si>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</si>
  <si>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</si>
  <si>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</si>
  <si>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</si>
  <si>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</si>
  <si>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</si>
  <si>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</si>
  <si>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</si>
  <si>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</si>
  <si>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</si>
  <si>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</si>
  <si>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</si>
  <si>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</si>
  <si>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</si>
  <si>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</si>
  <si>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</si>
  <si>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</si>
  <si>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</si>
  <si>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</si>
  <si>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</si>
  <si>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</si>
  <si>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</si>
  <si>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</si>
  <si>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</si>
  <si>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</si>
  <si>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</si>
  <si>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</si>
  <si>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</si>
  <si>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</si>
  <si>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</si>
  <si>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</si>
  <si>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</si>
  <si>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</si>
  <si>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</si>
  <si>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</si>
  <si>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</si>
  <si>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</si>
  <si>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</si>
  <si>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</si>
  <si>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</si>
  <si>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</si>
  <si>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</si>
  <si>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</si>
  <si>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</si>
  <si>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</si>
  <si>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</si>
  <si>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</si>
  <si>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</si>
  <si>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</si>
  <si>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</si>
  <si>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</si>
  <si>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</si>
  <si>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</si>
  <si>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</si>
  <si>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</si>
  <si>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</si>
  <si>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</si>
  <si>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</si>
  <si>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</si>
  <si>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</si>
  <si>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</si>
  <si>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</si>
  <si>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</si>
  <si>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</si>
  <si>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</si>
  <si>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</si>
  <si>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</si>
  <si>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</si>
  <si>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</si>
  <si>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</si>
  <si>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</si>
  <si>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</si>
  <si>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</si>
  <si>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</si>
  <si>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</si>
  <si>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</si>
  <si>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</si>
  <si>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</si>
  <si>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</si>
  <si>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</si>
  <si>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</si>
  <si>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</si>
  <si>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</si>
  <si>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</si>
  <si>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</si>
  <si>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</si>
  <si>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</si>
  <si>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</si>
  <si>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</si>
  <si>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</si>
  <si>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</si>
  <si>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</si>
  <si>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</si>
  <si>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</si>
  <si>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</si>
  <si>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</si>
  <si>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</si>
  <si>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</si>
  <si>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</si>
  <si>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</si>
  <si>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</si>
  <si>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</si>
  <si>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</si>
  <si>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</si>
  <si>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</si>
  <si>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</si>
  <si>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</si>
  <si>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</si>
  <si>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</si>
  <si>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</si>
  <si>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</si>
  <si>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</si>
  <si>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</si>
  <si>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</si>
  <si>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</si>
  <si>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</si>
  <si>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</si>
  <si>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</si>
  <si>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</si>
  <si>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</si>
  <si>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</si>
  <si>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</si>
  <si>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</si>
  <si>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</si>
  <si>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</si>
  <si>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</si>
  <si>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</si>
  <si>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</si>
  <si>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</si>
  <si>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</si>
  <si>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</si>
  <si>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</si>
  <si>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</si>
  <si>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</si>
  <si>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</si>
  <si>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</si>
  <si>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</si>
  <si>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</si>
  <si>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</si>
  <si>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</si>
  <si>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</si>
  <si>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</si>
  <si>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</si>
  <si>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</si>
  <si>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</si>
  <si>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</si>
  <si>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</si>
  <si>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</si>
  <si>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</si>
  <si>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</si>
  <si>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</si>
  <si>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</si>
  <si>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</si>
  <si>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</si>
  <si>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</si>
  <si>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</si>
  <si>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</si>
  <si>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</si>
  <si>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</si>
  <si>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</si>
  <si>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</si>
  <si>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</si>
  <si>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</si>
  <si>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</si>
  <si>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</si>
  <si>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</si>
  <si>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</si>
  <si>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</si>
  <si>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</si>
  <si>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</si>
  <si>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</si>
  <si>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</si>
  <si>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</si>
  <si>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</si>
  <si>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</si>
  <si>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</si>
  <si>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</si>
  <si>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</si>
  <si>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</si>
  <si>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</si>
  <si>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</si>
  <si>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</si>
  <si>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</si>
  <si>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</si>
  <si>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</si>
  <si>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</si>
  <si>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</si>
  <si>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</si>
  <si>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</si>
  <si>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</si>
  <si>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</si>
  <si>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</si>
  <si>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</si>
  <si>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</si>
  <si>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</si>
  <si>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</si>
  <si>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</si>
  <si>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</si>
  <si>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</si>
  <si>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</si>
  <si>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</si>
  <si>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</si>
  <si>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</si>
  <si>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</si>
  <si>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</si>
  <si>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</si>
  <si>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</si>
  <si>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</si>
  <si>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</si>
  <si>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</si>
  <si>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</si>
  <si>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</si>
  <si>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</si>
  <si>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</si>
  <si>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</si>
  <si>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</si>
  <si>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</si>
  <si>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</si>
  <si>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</si>
  <si>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</si>
  <si>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</si>
  <si>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</si>
  <si>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</si>
  <si>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</si>
  <si>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</si>
  <si>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</si>
  <si>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</si>
  <si>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</si>
  <si>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</si>
  <si>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</si>
  <si>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</si>
  <si>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</si>
  <si>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</si>
  <si>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</si>
  <si>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</si>
  <si>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</si>
  <si>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</si>
  <si>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</si>
  <si>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</si>
  <si>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</si>
  <si>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</si>
  <si>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</si>
  <si>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</si>
  <si>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</si>
  <si>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</si>
  <si>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</si>
  <si>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</si>
  <si>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</si>
  <si>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</si>
  <si>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</si>
  <si>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</si>
  <si>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</si>
  <si>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</si>
  <si>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</si>
  <si>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</si>
  <si>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</si>
  <si>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</si>
  <si>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</si>
  <si>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</si>
  <si>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</si>
  <si>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</si>
  <si>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</si>
  <si>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</si>
  <si>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</si>
  <si>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</si>
  <si>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</si>
  <si>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</si>
  <si>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</si>
  <si>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</si>
  <si>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</si>
  <si>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</si>
  <si>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</si>
  <si>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</si>
  <si>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</si>
  <si>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</si>
  <si>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</si>
  <si>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</si>
  <si>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</si>
  <si>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</si>
  <si>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</si>
  <si>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</si>
  <si>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</si>
  <si>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</si>
  <si>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</si>
  <si>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</si>
  <si>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</si>
  <si>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</si>
  <si>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</si>
  <si>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</si>
  <si>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</si>
  <si>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</si>
  <si>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</si>
  <si>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</si>
  <si>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</si>
  <si>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</si>
  <si>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</si>
  <si>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</si>
  <si>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</si>
  <si>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</si>
  <si>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</si>
  <si>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</si>
  <si>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</si>
  <si>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</si>
  <si>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</si>
  <si>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</si>
  <si>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</si>
  <si>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</si>
  <si>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</si>
  <si>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</si>
  <si>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</si>
  <si>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</si>
  <si>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</si>
  <si>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</si>
  <si>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</si>
  <si>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</si>
  <si>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</si>
  <si>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</si>
  <si>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</si>
  <si>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</si>
  <si>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</si>
  <si>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</si>
  <si>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</si>
  <si>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</si>
  <si>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</si>
  <si>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</si>
  <si>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</si>
  <si>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</si>
  <si>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</si>
  <si>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</si>
  <si>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</si>
  <si>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</si>
  <si>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</si>
  <si>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</si>
  <si>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</si>
  <si>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</si>
  <si>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</si>
  <si>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</si>
  <si>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</si>
  <si>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</si>
  <si>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</si>
  <si>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</si>
  <si>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</si>
  <si>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</si>
  <si>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</si>
  <si>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</si>
  <si>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</si>
  <si>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</si>
  <si>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</si>
  <si>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</si>
  <si>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</si>
  <si>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</si>
  <si>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</si>
  <si>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</si>
  <si>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</si>
  <si>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</si>
  <si>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</si>
  <si>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</si>
  <si>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</si>
  <si>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</si>
  <si>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</si>
  <si>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</si>
  <si>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</si>
  <si>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</si>
  <si>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</si>
  <si>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</si>
  <si>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</si>
  <si>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</si>
  <si>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</si>
  <si>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</si>
  <si>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</si>
  <si>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</si>
  <si>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</si>
  <si>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</si>
  <si>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</si>
  <si>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</si>
  <si>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</si>
  <si>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</si>
  <si>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</si>
  <si>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</si>
  <si>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</si>
  <si>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</si>
  <si>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</si>
  <si>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</si>
  <si>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</si>
  <si>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</si>
  <si>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</si>
  <si>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</si>
  <si>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</si>
  <si>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</si>
  <si>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</si>
  <si>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</si>
  <si>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</si>
  <si>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</si>
  <si>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</si>
  <si>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</si>
  <si>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</si>
  <si>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</si>
  <si>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</si>
  <si>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</si>
  <si>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</si>
  <si>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</si>
  <si>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</si>
  <si>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</si>
  <si>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</si>
  <si>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</si>
  <si>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</si>
  <si>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</si>
  <si>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</si>
  <si>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</si>
  <si>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</si>
  <si>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</si>
  <si>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</si>
  <si>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</si>
  <si>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</si>
  <si>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</si>
  <si>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</si>
  <si>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</si>
  <si>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</si>
  <si>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</si>
  <si>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</si>
  <si>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</si>
  <si>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</si>
  <si>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</si>
  <si>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</si>
  <si>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</si>
  <si>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</si>
  <si>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</si>
  <si>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</si>
  <si>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</si>
  <si>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</si>
  <si>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</si>
  <si>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</si>
  <si>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</si>
  <si>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</si>
  <si>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</si>
  <si>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</si>
  <si>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</si>
  <si>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</si>
  <si>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</si>
  <si>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</si>
  <si>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</si>
  <si>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</si>
  <si>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</si>
  <si>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</si>
  <si>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</si>
  <si>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</si>
  <si>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</si>
  <si>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</si>
  <si>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</si>
  <si>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</si>
  <si>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</si>
  <si>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</si>
  <si>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</si>
  <si>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</si>
  <si>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</si>
  <si>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</si>
  <si>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</si>
  <si>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</si>
  <si>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</si>
  <si>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</si>
  <si>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</si>
  <si>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</si>
  <si>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</si>
  <si>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</si>
  <si>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</si>
  <si>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</si>
  <si>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</si>
  <si>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</si>
  <si>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</si>
  <si>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</si>
  <si>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</si>
  <si>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</si>
  <si>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</si>
  <si>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</si>
  <si>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</si>
  <si>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</si>
  <si>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</si>
  <si>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</si>
  <si>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</si>
  <si>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</si>
  <si>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</si>
  <si>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</si>
  <si>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</si>
  <si>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</si>
  <si>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</si>
  <si>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</si>
  <si>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</si>
  <si>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</si>
  <si>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</si>
  <si>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</si>
  <si>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</si>
  <si>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</si>
  <si>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</si>
  <si>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</si>
  <si>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</si>
  <si>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</si>
  <si>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</si>
  <si>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</si>
  <si>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</si>
  <si>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</si>
  <si>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</si>
  <si>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</si>
  <si>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</si>
  <si>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</si>
  <si>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</si>
  <si>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</si>
  <si>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</si>
  <si>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</si>
  <si>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</si>
  <si>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</si>
  <si>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</si>
  <si>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</si>
  <si>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</si>
  <si>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</si>
  <si>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</si>
  <si>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</si>
  <si>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</si>
  <si>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</si>
  <si>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</si>
  <si>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</si>
  <si>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</si>
  <si>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</si>
  <si>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</si>
  <si>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</si>
  <si>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</si>
  <si>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</si>
  <si>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</si>
  <si>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</si>
  <si>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</si>
  <si>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</si>
  <si>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</si>
  <si>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</si>
  <si>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</si>
  <si>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</si>
  <si>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</si>
  <si>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</si>
  <si>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</si>
  <si>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</si>
  <si>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</si>
  <si>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</si>
  <si>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</si>
  <si>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</si>
  <si>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</si>
  <si>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</si>
  <si>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</si>
  <si>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</si>
  <si>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</si>
  <si>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</si>
  <si>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</si>
  <si>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</si>
  <si>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</si>
  <si>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</si>
  <si>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</si>
  <si>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</si>
  <si>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</si>
  <si>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</si>
  <si>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</si>
  <si>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</si>
  <si>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</si>
  <si>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</si>
  <si>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</si>
  <si>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</si>
  <si>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</si>
  <si>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</si>
  <si>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</si>
  <si>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</si>
  <si>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</si>
  <si>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</si>
  <si>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</si>
  <si>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</si>
  <si>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</si>
  <si>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</si>
  <si>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</si>
  <si>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</si>
  <si>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</si>
  <si>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</si>
  <si>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</si>
  <si>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</si>
  <si>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</si>
  <si>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</si>
  <si>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</si>
  <si>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</si>
  <si>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</si>
  <si>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</si>
  <si>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</si>
  <si>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</si>
  <si>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</si>
  <si>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</si>
  <si>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</si>
  <si>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</si>
  <si>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</si>
  <si>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</si>
  <si>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</si>
  <si>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</si>
  <si>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</si>
  <si>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</si>
  <si>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</si>
  <si>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</si>
  <si>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</si>
  <si>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</si>
  <si>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</si>
  <si>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</si>
  <si>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</si>
  <si>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</si>
  <si>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</si>
  <si>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</si>
  <si>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</si>
  <si>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</si>
  <si>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</si>
  <si>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</si>
  <si>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</si>
  <si>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</si>
  <si>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</si>
  <si>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</si>
  <si>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</si>
  <si>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</si>
  <si>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</si>
  <si>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</si>
  <si>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</si>
  <si>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</si>
  <si>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</si>
  <si>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</si>
  <si>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</si>
  <si>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</si>
  <si>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</si>
  <si>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</si>
  <si>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</si>
  <si>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</si>
  <si>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</si>
  <si>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</si>
  <si>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</si>
  <si>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</si>
  <si>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</si>
  <si>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</si>
  <si>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</si>
  <si>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</si>
  <si>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</si>
  <si>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</si>
  <si>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</si>
  <si>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</si>
  <si>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</si>
  <si>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</si>
  <si>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</si>
  <si>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</si>
  <si>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</si>
  <si>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</si>
  <si>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</si>
  <si>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</si>
  <si>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</si>
  <si>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</si>
  <si>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</si>
  <si>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</si>
  <si>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</si>
  <si>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</si>
  <si>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</si>
  <si>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</si>
  <si>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</si>
  <si>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</si>
  <si>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</si>
  <si>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</si>
  <si>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</si>
  <si>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</si>
  <si>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</si>
  <si>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</si>
  <si>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</si>
  <si>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</si>
  <si>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</si>
  <si>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</si>
  <si>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</si>
  <si>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</si>
  <si>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</si>
  <si>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</si>
  <si>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</si>
  <si>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</si>
  <si>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</si>
  <si>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</si>
  <si>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</si>
  <si>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</si>
  <si>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</si>
  <si>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</si>
  <si>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</si>
  <si>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</si>
  <si>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</si>
  <si>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</si>
  <si>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</si>
  <si>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</si>
  <si>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</si>
  <si>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</si>
  <si>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</si>
  <si>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</si>
  <si>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</si>
  <si>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</si>
  <si>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</si>
  <si>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</si>
  <si>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</si>
  <si>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</si>
  <si>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</si>
  <si>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</si>
  <si>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</si>
  <si>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</si>
  <si>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</si>
  <si>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</si>
  <si>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</si>
  <si>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</si>
  <si>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</si>
  <si>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</si>
  <si>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</si>
  <si>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</si>
  <si>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</si>
  <si>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</si>
  <si>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</si>
  <si>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</si>
  <si>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</si>
  <si>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</si>
  <si>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</si>
  <si>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</si>
  <si>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</si>
  <si>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</si>
  <si>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</si>
  <si>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</si>
  <si>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</si>
  <si>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</si>
  <si>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</si>
  <si>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</si>
  <si>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</si>
  <si>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</si>
  <si>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</si>
  <si>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</si>
  <si>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</si>
  <si>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</si>
  <si>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</si>
  <si>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</si>
  <si>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</si>
  <si>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</si>
  <si>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</si>
  <si>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</si>
  <si>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</si>
  <si>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</si>
  <si>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</si>
  <si>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</si>
  <si>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</si>
  <si>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</si>
  <si>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</si>
  <si>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</si>
  <si>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</si>
  <si>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</si>
  <si>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</si>
  <si>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</si>
  <si>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</si>
  <si>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</si>
  <si>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</si>
  <si>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</si>
  <si>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</si>
  <si>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</si>
  <si>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</si>
  <si>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</si>
  <si>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</si>
  <si>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</si>
  <si>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</si>
  <si>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</si>
  <si>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</si>
  <si>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</si>
  <si>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</si>
  <si>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</si>
  <si>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</si>
  <si>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</si>
  <si>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</si>
  <si>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</si>
  <si>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</si>
  <si>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</si>
  <si>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</si>
  <si>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</si>
  <si>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</si>
  <si>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</si>
  <si>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</si>
  <si>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</si>
  <si>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</si>
  <si>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</si>
  <si>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</si>
  <si>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</si>
  <si>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</si>
  <si>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</si>
  <si>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</si>
  <si>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</si>
  <si>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</si>
  <si>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</si>
  <si>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</si>
  <si>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</si>
  <si>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</si>
  <si>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</si>
  <si>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</si>
  <si>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</si>
  <si>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</si>
  <si>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</si>
  <si>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</si>
  <si>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</si>
  <si>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</si>
  <si>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</si>
  <si>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</si>
  <si>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</si>
  <si>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</si>
  <si>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</si>
  <si>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</si>
  <si>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</si>
  <si>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</si>
  <si>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</si>
  <si>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</si>
  <si>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</si>
  <si>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</si>
  <si>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</si>
  <si>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</si>
  <si>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</si>
  <si>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</si>
  <si>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</si>
  <si>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</si>
  <si>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</si>
  <si>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</si>
  <si>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</si>
  <si>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</si>
  <si>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</si>
  <si>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</si>
  <si>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</si>
  <si>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</si>
  <si>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</si>
  <si>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</si>
  <si>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</si>
  <si>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</si>
  <si>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</si>
  <si>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</si>
  <si>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</si>
  <si>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</si>
  <si>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</si>
  <si>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</si>
  <si>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</si>
  <si>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</si>
  <si>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</si>
  <si>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</si>
  <si>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</si>
  <si>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</si>
  <si>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</si>
  <si>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</si>
  <si>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</si>
  <si>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</si>
  <si>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</si>
  <si>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</si>
  <si>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</si>
  <si>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</si>
  <si>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</si>
  <si>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</si>
  <si>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</si>
  <si>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</si>
  <si>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</si>
  <si>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</si>
  <si>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</si>
  <si>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</si>
  <si>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</si>
  <si>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</si>
  <si>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</si>
  <si>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</si>
  <si>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</si>
  <si>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</si>
  <si>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</si>
  <si>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</si>
  <si>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</si>
  <si>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</si>
  <si>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</si>
  <si>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</si>
  <si>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</si>
  <si>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</si>
  <si>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</si>
  <si>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</si>
  <si>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</si>
  <si>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</si>
  <si>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</si>
  <si>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</si>
  <si>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</si>
  <si>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</si>
  <si>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</si>
  <si>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</si>
  <si>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</si>
  <si>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</si>
  <si>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</si>
  <si>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</si>
  <si>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</si>
  <si>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</si>
  <si>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</si>
  <si>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</si>
  <si>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</si>
  <si>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</si>
  <si>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</si>
  <si>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</si>
  <si>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</si>
  <si>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</si>
  <si>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</si>
  <si>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</si>
  <si>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</si>
  <si>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</si>
  <si>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</si>
  <si>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</si>
  <si>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</si>
  <si>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</si>
  <si>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</si>
  <si>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</si>
  <si>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</si>
  <si>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</si>
  <si>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</si>
  <si>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</si>
  <si>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</si>
  <si>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</si>
  <si>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</si>
  <si>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</si>
  <si>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</si>
  <si>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</si>
  <si>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</si>
  <si>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</si>
  <si>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</si>
  <si>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</si>
  <si>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</si>
  <si>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</si>
  <si>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</si>
  <si>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</si>
  <si>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</si>
  <si>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</si>
  <si>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</si>
  <si>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</si>
  <si>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</si>
  <si>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</si>
  <si>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</si>
  <si>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</si>
  <si>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</si>
  <si>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</si>
  <si>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</si>
  <si>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</si>
  <si>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</si>
  <si>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</si>
  <si>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</si>
  <si>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</si>
  <si>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</si>
  <si>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</si>
  <si>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</si>
  <si>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</si>
  <si>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</si>
  <si>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</si>
  <si>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</si>
  <si>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</si>
  <si>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</si>
  <si>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</si>
  <si>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</si>
  <si>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</si>
  <si>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</si>
  <si>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</si>
  <si>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</si>
  <si>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</si>
  <si>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</si>
  <si>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</si>
  <si>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</si>
  <si>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</si>
  <si>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</si>
  <si>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</si>
  <si>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</si>
  <si>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</si>
  <si>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</si>
  <si>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</si>
  <si>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</si>
  <si>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</si>
  <si>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</si>
  <si>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</si>
  <si>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</si>
  <si>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</si>
  <si>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</si>
  <si>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</si>
  <si>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</si>
  <si>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</si>
  <si>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</si>
  <si>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</si>
  <si>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</si>
  <si>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</si>
  <si>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</si>
  <si>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</si>
  <si>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</si>
  <si>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</si>
  <si>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</si>
  <si>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</si>
  <si>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</si>
  <si>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</si>
  <si>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</si>
  <si>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</si>
  <si>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</si>
  <si>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</si>
  <si>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</si>
  <si>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</si>
  <si>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</si>
  <si>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</si>
  <si>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</si>
  <si>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</si>
  <si>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</si>
  <si>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</si>
  <si>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</si>
  <si>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</si>
  <si>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</si>
  <si>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</si>
  <si>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</si>
  <si>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</si>
  <si>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</si>
  <si>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</si>
  <si>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</si>
  <si>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</si>
  <si>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</si>
  <si>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</si>
  <si>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</si>
  <si>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</si>
  <si>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</si>
  <si>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</si>
  <si>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</si>
  <si>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</si>
  <si>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</si>
  <si>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</si>
  <si>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</si>
  <si>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</si>
  <si>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</si>
  <si>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</si>
  <si>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</si>
  <si>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</si>
  <si>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</si>
  <si>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</si>
  <si>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</si>
  <si>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</si>
  <si>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</si>
  <si>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</si>
  <si>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</si>
  <si>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</si>
  <si>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</si>
  <si>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</si>
  <si>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</si>
  <si>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</si>
  <si>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</si>
  <si>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</si>
  <si>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</si>
  <si>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</si>
  <si>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</si>
  <si>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</si>
  <si>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</si>
  <si>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</si>
  <si>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</si>
  <si>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</si>
  <si>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</si>
  <si>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</si>
  <si>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</si>
  <si>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</si>
  <si>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</si>
  <si>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</si>
  <si>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</si>
  <si>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</si>
  <si>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</si>
  <si>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</si>
  <si>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</si>
  <si>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</si>
  <si>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</si>
  <si>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</si>
  <si>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</si>
  <si>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</si>
  <si>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</si>
  <si>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</si>
  <si>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</si>
  <si>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</si>
  <si>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</si>
  <si>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</si>
  <si>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</si>
  <si>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</si>
  <si>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</si>
  <si>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</si>
  <si>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</si>
  <si>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</si>
  <si>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</si>
  <si>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</si>
  <si>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</si>
  <si>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</si>
  <si>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</si>
  <si>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</si>
  <si>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</si>
  <si>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</si>
  <si>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</si>
  <si>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</si>
  <si>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</si>
  <si>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</si>
  <si>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</si>
  <si>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</si>
  <si>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</si>
  <si>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</si>
  <si>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</si>
  <si>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</si>
  <si>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</si>
  <si>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</si>
  <si>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</si>
  <si>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</si>
  <si>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</si>
  <si>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</si>
  <si>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</si>
  <si>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</si>
  <si>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</si>
  <si>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</si>
  <si>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</si>
  <si>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</si>
  <si>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</si>
  <si>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</si>
  <si>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</si>
  <si>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</si>
  <si>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</si>
  <si>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</si>
  <si>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</si>
  <si>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</si>
  <si>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</si>
  <si>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</si>
  <si>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</si>
  <si>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</si>
  <si>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</si>
  <si>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</si>
  <si>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</si>
  <si>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</si>
  <si>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</si>
  <si>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</si>
  <si>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</si>
  <si>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</si>
  <si>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</si>
  <si>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</si>
  <si>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</si>
  <si>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</si>
  <si>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</si>
  <si>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</si>
  <si>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</si>
  <si>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</si>
  <si>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</si>
  <si>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</si>
  <si>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</si>
  <si>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</si>
  <si>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</si>
  <si>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</si>
  <si>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</si>
  <si>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</si>
  <si>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</si>
  <si>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</si>
  <si>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</si>
  <si>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</si>
  <si>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</si>
  <si>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</si>
  <si>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</si>
  <si>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</si>
  <si>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</si>
  <si>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</si>
  <si>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</si>
  <si>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</si>
  <si>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</si>
  <si>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</si>
  <si>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</si>
  <si>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</si>
  <si>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</si>
  <si>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</si>
  <si>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</si>
  <si>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</si>
  <si>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</si>
  <si>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</si>
  <si>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</si>
  <si>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</si>
  <si>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</si>
  <si>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</si>
  <si>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</si>
  <si>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</si>
  <si>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</si>
  <si>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</si>
  <si>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</si>
  <si>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</si>
  <si>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</si>
  <si>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</si>
  <si>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</si>
  <si>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</si>
  <si>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</si>
  <si>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</si>
  <si>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</si>
  <si>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</si>
  <si>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</si>
  <si>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</si>
  <si>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</si>
  <si>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</si>
  <si>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</si>
  <si>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</si>
  <si>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</si>
  <si>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</si>
  <si>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</si>
  <si>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</si>
  <si>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</si>
  <si>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</si>
  <si>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</si>
  <si>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</si>
  <si>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</si>
  <si>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</si>
  <si>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</si>
  <si>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</si>
  <si>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</si>
  <si>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</si>
  <si>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</si>
  <si>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</si>
  <si>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</si>
  <si>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</si>
  <si>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</si>
  <si>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</si>
  <si>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</si>
  <si>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</si>
  <si>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</si>
  <si>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</si>
  <si>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</si>
  <si>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</si>
  <si>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</si>
  <si>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</si>
  <si>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</si>
  <si>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</si>
  <si>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</si>
  <si>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</si>
  <si>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</si>
  <si>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</si>
  <si>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</si>
  <si>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</si>
  <si>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</si>
  <si>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</si>
  <si>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</si>
  <si>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</si>
  <si>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</si>
  <si>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</si>
  <si>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</si>
  <si>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</si>
  <si>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</si>
  <si>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</si>
  <si>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</si>
  <si>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</si>
  <si>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</si>
  <si>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</si>
  <si>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</si>
  <si>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</si>
  <si>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</si>
  <si>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</si>
  <si>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</si>
  <si>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</si>
  <si>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</si>
  <si>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</si>
  <si>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</si>
  <si>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</si>
  <si>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</si>
  <si>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</si>
  <si>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</si>
  <si>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</si>
  <si>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</si>
  <si>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</si>
  <si>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</si>
  <si>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</si>
  <si>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</si>
  <si>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</si>
  <si>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</si>
  <si>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</si>
  <si>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</si>
  <si>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</si>
  <si>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</si>
  <si>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</si>
  <si>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</si>
  <si>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</si>
  <si>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</si>
  <si>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</si>
  <si>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</si>
  <si>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</si>
  <si>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</si>
  <si>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</si>
  <si>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</si>
  <si>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</si>
  <si>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</si>
  <si>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</si>
  <si>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</si>
  <si>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</si>
  <si>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</si>
  <si>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</si>
  <si>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</si>
  <si>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</si>
  <si>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</si>
  <si>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</si>
  <si>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</si>
  <si>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</si>
  <si>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</si>
  <si>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</si>
  <si>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</si>
  <si>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</si>
  <si>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</si>
  <si>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</si>
  <si>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</si>
  <si>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</si>
  <si>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</si>
  <si>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</si>
  <si>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</si>
  <si>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</si>
  <si>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</si>
  <si>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</si>
  <si>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</si>
  <si>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</si>
  <si>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</si>
  <si>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</si>
  <si>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</si>
  <si>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</si>
  <si>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</si>
  <si>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</si>
  <si>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</si>
  <si>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</si>
  <si>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</si>
  <si>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</si>
  <si>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</si>
  <si>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</si>
  <si>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</si>
  <si>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</si>
  <si>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</si>
  <si>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</si>
  <si>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</si>
  <si>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</si>
  <si>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</si>
  <si>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</si>
  <si>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</si>
  <si>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</si>
  <si>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</si>
  <si>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</si>
  <si>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</si>
  <si>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</si>
  <si>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</si>
  <si>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</si>
  <si>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</si>
  <si>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</si>
  <si>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</si>
  <si>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</si>
  <si>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</si>
  <si>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</si>
  <si>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</si>
  <si>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</si>
  <si>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</si>
  <si>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</si>
  <si>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</si>
  <si>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</si>
  <si>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</si>
  <si>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</si>
  <si>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</si>
  <si>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</si>
  <si>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</si>
  <si>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</si>
  <si>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</si>
  <si>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</si>
  <si>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</si>
  <si>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</si>
  <si>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</si>
  <si>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</si>
  <si>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</si>
  <si>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</si>
  <si>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</si>
  <si>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</si>
  <si>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</si>
  <si>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</si>
  <si>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</si>
  <si>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</si>
  <si>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</si>
  <si>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</si>
  <si>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</si>
  <si>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</si>
  <si>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</si>
  <si>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</si>
  <si>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</si>
  <si>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</si>
  <si>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</si>
  <si>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</si>
  <si>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</si>
  <si>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</si>
  <si>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</si>
  <si>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</si>
  <si>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</si>
  <si>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</si>
  <si>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</si>
  <si>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</si>
  <si>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</si>
  <si>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</si>
  <si>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</si>
  <si>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</si>
  <si>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</si>
  <si>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</si>
  <si>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</si>
  <si>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</si>
  <si>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</si>
  <si>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</si>
  <si>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</si>
  <si>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</si>
  <si>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</si>
  <si>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</si>
  <si>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</si>
  <si>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</si>
  <si>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</si>
  <si>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</si>
  <si>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</si>
  <si>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</si>
  <si>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</si>
  <si>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</si>
  <si>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</si>
  <si>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</si>
  <si>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</si>
  <si>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</si>
  <si>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</si>
  <si>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</si>
  <si>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</si>
  <si>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</si>
  <si>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</si>
  <si>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</si>
  <si>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</si>
  <si>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</si>
  <si>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</si>
  <si>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</si>
  <si>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</si>
  <si>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</si>
  <si>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</si>
  <si>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</si>
  <si>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</si>
  <si>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</si>
  <si>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</si>
  <si>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</si>
  <si>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</si>
  <si>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</si>
  <si>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</si>
  <si>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</si>
  <si>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</si>
  <si>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</si>
  <si>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</si>
  <si>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</si>
  <si>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</si>
  <si>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</si>
  <si>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</si>
  <si>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</si>
  <si>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</si>
  <si>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</si>
  <si>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</si>
  <si>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</si>
  <si>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</si>
  <si>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</si>
  <si>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</si>
  <si>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</si>
  <si>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</si>
  <si>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</si>
  <si>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</si>
  <si>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</si>
  <si>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</si>
  <si>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</si>
  <si>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</si>
  <si>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</si>
  <si>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</si>
  <si>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</si>
  <si>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</si>
  <si>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</si>
  <si>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</si>
  <si>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</si>
  <si>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</si>
  <si>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</si>
  <si>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</si>
  <si>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</si>
  <si>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</si>
  <si>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</si>
  <si>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</si>
  <si>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</si>
  <si>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</si>
  <si>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</si>
  <si>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</si>
  <si>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</si>
  <si>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</si>
  <si>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</si>
  <si>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</si>
  <si>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</si>
  <si>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</si>
  <si>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</si>
  <si>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</si>
  <si>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</si>
  <si>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</si>
  <si>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</si>
  <si>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</si>
  <si>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</si>
  <si>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</si>
  <si>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</si>
  <si>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</si>
  <si>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</si>
  <si>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</si>
  <si>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</si>
  <si>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</si>
  <si>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</si>
  <si>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</si>
  <si>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</si>
  <si>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</si>
  <si>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</si>
  <si>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</si>
  <si>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</si>
  <si>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</si>
  <si>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</si>
  <si>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</si>
  <si>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</si>
  <si>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</si>
  <si>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</si>
  <si>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</si>
  <si>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</si>
  <si>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</si>
  <si>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</si>
  <si>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</si>
  <si>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</si>
  <si>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</si>
  <si>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</si>
  <si>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</si>
  <si>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</si>
  <si>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</si>
  <si>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</si>
  <si>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</si>
  <si>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</si>
  <si>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</si>
  <si>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</si>
  <si>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</si>
  <si>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</si>
  <si>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</si>
  <si>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</si>
  <si>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</si>
  <si>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</si>
  <si>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</si>
  <si>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</si>
  <si>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</si>
  <si>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</si>
  <si>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</si>
  <si>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</si>
  <si>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</si>
  <si>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</si>
  <si>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</si>
  <si>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</si>
  <si>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</si>
  <si>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</si>
  <si>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</si>
  <si>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</si>
  <si>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</si>
  <si>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</si>
  <si>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</si>
  <si>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</si>
  <si>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</si>
  <si>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</si>
  <si>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</si>
  <si>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</si>
  <si>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</si>
  <si>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</si>
  <si>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</si>
  <si>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</si>
  <si>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</si>
  <si>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</si>
  <si>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</si>
  <si>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</si>
  <si>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</si>
  <si>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</si>
  <si>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</si>
  <si>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</si>
  <si>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</si>
  <si>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</si>
  <si>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</si>
  <si>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</si>
  <si>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</si>
  <si>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</si>
  <si>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</si>
  <si>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</si>
  <si>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</si>
  <si>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</si>
  <si>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</si>
  <si>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</si>
  <si>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</si>
  <si>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</si>
  <si>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</si>
  <si>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</si>
  <si>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</si>
  <si>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</si>
  <si>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</si>
  <si>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</si>
  <si>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</si>
  <si>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</si>
  <si>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</si>
  <si>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</si>
  <si>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</si>
  <si>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</si>
  <si>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</si>
  <si>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</si>
  <si>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</si>
  <si>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</si>
  <si>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</si>
  <si>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</si>
  <si>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</si>
  <si>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</si>
  <si>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</si>
  <si>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</si>
  <si>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</si>
  <si>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</si>
  <si>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</si>
  <si>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</si>
  <si>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</si>
  <si>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</si>
  <si>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</si>
  <si>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</si>
  <si>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</si>
  <si>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</si>
  <si>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</si>
  <si>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</si>
  <si>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</si>
  <si>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</si>
  <si>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</si>
  <si>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</si>
  <si>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</si>
  <si>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</si>
  <si>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</si>
  <si>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</si>
  <si>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</si>
  <si>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</si>
  <si>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</si>
  <si>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</si>
  <si>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</si>
  <si>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</si>
  <si>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</si>
  <si>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</si>
  <si>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</si>
  <si>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</si>
  <si>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</si>
  <si>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</si>
  <si>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</si>
  <si>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</si>
  <si>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</si>
  <si>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</si>
  <si>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</si>
  <si>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</si>
  <si>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</si>
  <si>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</si>
  <si>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</si>
  <si>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</si>
  <si>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</si>
  <si>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</si>
  <si>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</si>
  <si>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</si>
  <si>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</si>
  <si>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</si>
  <si>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</si>
  <si>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</si>
  <si>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</si>
  <si>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</si>
  <si>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</si>
  <si>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</si>
  <si>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</si>
  <si>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</si>
  <si>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</si>
  <si>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</si>
  <si>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</si>
  <si>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</si>
  <si>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</si>
  <si>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</si>
  <si>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</si>
  <si>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</si>
  <si>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</si>
  <si>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</si>
  <si>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</si>
  <si>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</si>
  <si>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</si>
  <si>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</si>
  <si>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</si>
  <si>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</si>
  <si>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</si>
  <si>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</si>
  <si>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</si>
  <si>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</si>
  <si>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</si>
  <si>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</si>
  <si>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</si>
  <si>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</si>
  <si>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</si>
  <si>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</si>
  <si>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</si>
  <si>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</si>
  <si>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</si>
  <si>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</si>
  <si>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</si>
  <si>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</si>
  <si>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</si>
  <si>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</si>
  <si>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</si>
  <si>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</si>
  <si>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</si>
  <si>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</si>
  <si>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</si>
  <si>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</si>
  <si>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</si>
  <si>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</si>
  <si>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</si>
  <si>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</si>
  <si>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</si>
  <si>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</si>
  <si>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</si>
  <si>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</si>
  <si>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</si>
  <si>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</si>
  <si>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</si>
  <si>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</si>
  <si>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</si>
  <si>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</si>
  <si>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</si>
  <si>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</si>
  <si>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</si>
  <si>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</si>
  <si>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</si>
  <si>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</si>
  <si>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</si>
  <si>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</si>
  <si>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</si>
  <si>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</si>
  <si>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</si>
  <si>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</si>
  <si>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</si>
  <si>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</si>
  <si>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</si>
  <si>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</si>
  <si>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</si>
  <si>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</si>
  <si>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</si>
  <si>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</si>
  <si>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</si>
  <si>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</si>
  <si>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</si>
  <si>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</si>
  <si>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</si>
  <si>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</si>
  <si>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</si>
  <si>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</si>
  <si>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</si>
  <si>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</si>
  <si>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</si>
  <si>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</si>
  <si>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</si>
  <si>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</si>
  <si>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</si>
  <si>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</si>
  <si>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</si>
  <si>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</si>
  <si>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</si>
  <si>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</si>
  <si>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</si>
  <si>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</si>
  <si>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</si>
  <si>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</si>
  <si>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</si>
  <si>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</si>
  <si>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</si>
  <si>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</si>
  <si>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</si>
  <si>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</si>
  <si>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</si>
  <si>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</si>
  <si>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</si>
  <si>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</si>
  <si>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</si>
  <si>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</si>
  <si>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</si>
  <si>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</si>
  <si>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</si>
  <si>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</si>
  <si>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</si>
  <si>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</si>
  <si>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</si>
  <si>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</si>
  <si>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</si>
  <si>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</si>
  <si>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</si>
  <si>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</si>
  <si>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</si>
  <si>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</si>
  <si>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</si>
  <si>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</si>
  <si>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</si>
  <si>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</si>
  <si>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</si>
  <si>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</si>
  <si>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</si>
  <si>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</si>
  <si>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</si>
  <si>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</si>
  <si>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</si>
  <si>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</si>
  <si>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</si>
  <si>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</si>
  <si>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</si>
  <si>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</si>
  <si>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</si>
  <si>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</si>
  <si>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</si>
  <si>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</si>
  <si>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</si>
  <si>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</si>
  <si>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</si>
  <si>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</si>
  <si>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</si>
  <si>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</si>
  <si>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</si>
  <si>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</si>
  <si>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</si>
  <si>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</si>
  <si>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</si>
  <si>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</si>
  <si>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</si>
  <si>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</si>
  <si>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</si>
  <si>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</si>
  <si>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</si>
  <si>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</si>
  <si>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</si>
  <si>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</si>
  <si>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</si>
  <si>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</si>
  <si>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</si>
  <si>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</si>
  <si>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</si>
  <si>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</si>
  <si>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</si>
  <si>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</si>
  <si>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</si>
  <si>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</si>
  <si>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</si>
  <si>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</si>
  <si>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</si>
  <si>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</si>
  <si>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</si>
  <si>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</si>
  <si>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</si>
  <si>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</si>
  <si>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</si>
  <si>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</si>
  <si>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</si>
  <si>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</si>
  <si>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</si>
  <si>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</si>
  <si>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</si>
  <si>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</si>
  <si>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</si>
  <si>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</si>
  <si>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</si>
  <si>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</si>
  <si>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</si>
  <si>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</si>
  <si>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</si>
  <si>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</si>
  <si>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</si>
  <si>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</si>
  <si>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</si>
  <si>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</si>
  <si>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</si>
  <si>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</si>
  <si>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</si>
  <si>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</si>
  <si>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</si>
  <si>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</si>
  <si>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</si>
  <si>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</si>
  <si>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</si>
  <si>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</si>
  <si>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</si>
  <si>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</si>
  <si>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</si>
  <si>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</si>
  <si>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</si>
  <si>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</si>
  <si>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</si>
  <si>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</si>
  <si>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</si>
  <si>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</si>
  <si>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</si>
  <si>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</si>
  <si>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</si>
  <si>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</si>
  <si>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</si>
  <si>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</si>
  <si>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</si>
  <si>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</si>
  <si>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</si>
  <si>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</si>
  <si>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</si>
  <si>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</si>
  <si>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</si>
  <si>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</si>
  <si>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</si>
  <si>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</si>
  <si>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</si>
  <si>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</si>
  <si>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</si>
  <si>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</si>
  <si>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</si>
  <si>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</si>
  <si>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</si>
  <si>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</si>
  <si>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</si>
  <si>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</si>
  <si>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</si>
  <si>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</si>
  <si>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</si>
  <si>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</si>
  <si>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</si>
  <si>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</si>
  <si>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</si>
  <si>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</si>
  <si>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</si>
  <si>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</si>
  <si>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</si>
  <si>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</si>
  <si>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</si>
  <si>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</si>
  <si>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</si>
  <si>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</si>
  <si>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</si>
  <si>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</si>
  <si>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</si>
  <si>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</si>
  <si>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</si>
  <si>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</si>
  <si>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</si>
  <si>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</si>
  <si>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</si>
  <si>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</si>
  <si>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</si>
  <si>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</si>
  <si>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</si>
  <si>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</si>
  <si>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</si>
  <si>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</si>
  <si>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</si>
  <si>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</si>
  <si>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</si>
  <si>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</si>
  <si>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</si>
  <si>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</si>
  <si>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</si>
  <si>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</si>
  <si>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</si>
  <si>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</si>
  <si>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</si>
  <si>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</si>
  <si>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</si>
  <si>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</si>
  <si>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</si>
  <si>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</si>
  <si>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</si>
  <si>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</si>
  <si>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</si>
  <si>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</si>
  <si>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</si>
  <si>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</si>
  <si>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</si>
  <si>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</si>
  <si>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</si>
  <si>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</si>
  <si>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</si>
  <si>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</si>
  <si>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</si>
  <si>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</si>
  <si>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</si>
  <si>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</si>
  <si>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</si>
  <si>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</si>
  <si>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</si>
  <si>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</si>
  <si>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</si>
  <si>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</si>
  <si>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</si>
  <si>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</si>
  <si>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</si>
  <si>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</si>
  <si>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</si>
  <si>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</si>
  <si>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</si>
  <si>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</si>
  <si>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</si>
  <si>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</si>
  <si>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</si>
  <si>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</si>
  <si>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</si>
  <si>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</si>
  <si>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</si>
  <si>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</si>
  <si>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</si>
  <si>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</si>
  <si>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</si>
  <si>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</si>
  <si>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</si>
  <si>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</si>
  <si>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</si>
  <si>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</si>
  <si>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</si>
  <si>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</si>
  <si>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</si>
  <si>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</si>
  <si>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</si>
  <si>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</si>
  <si>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</si>
  <si>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</si>
  <si>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</si>
  <si>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</si>
  <si>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</si>
  <si>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</si>
  <si>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</si>
  <si>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</si>
  <si>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</si>
  <si>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</si>
  <si>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</si>
  <si>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</si>
  <si>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</si>
  <si>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</si>
  <si>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</si>
  <si>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</si>
  <si>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</si>
  <si>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</si>
  <si>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</si>
  <si>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</si>
  <si>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</si>
  <si>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</si>
  <si>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</si>
  <si>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</si>
  <si>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</si>
  <si>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</si>
  <si>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</si>
  <si>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</si>
  <si>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</si>
  <si>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</si>
  <si>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</si>
  <si>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</si>
  <si>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</si>
  <si>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</si>
  <si>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</si>
  <si>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</si>
  <si>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</si>
  <si>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</si>
  <si>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</si>
  <si>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</si>
  <si>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</si>
  <si>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</si>
  <si>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</si>
  <si>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</si>
  <si>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</si>
  <si>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</si>
  <si>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</si>
  <si>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</si>
  <si>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</si>
  <si>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</si>
  <si>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</si>
  <si>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</si>
  <si>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</si>
  <si>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</si>
  <si>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</si>
  <si>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</si>
  <si>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</si>
  <si>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</si>
  <si>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</si>
  <si>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</si>
  <si>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</si>
  <si>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</si>
  <si>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</si>
  <si>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</si>
  <si>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</si>
  <si>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</si>
  <si>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</si>
  <si>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</si>
  <si>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</si>
  <si>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</si>
  <si>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</si>
  <si>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</si>
  <si>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</si>
  <si>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</si>
  <si>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</si>
  <si>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</si>
  <si>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</si>
  <si>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</si>
  <si>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</si>
  <si>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</si>
  <si>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</si>
  <si>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</si>
  <si>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</si>
  <si>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</si>
  <si>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</si>
  <si>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</si>
  <si>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</si>
  <si>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</si>
  <si>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</si>
  <si>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</si>
  <si>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</si>
  <si>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</si>
  <si>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</si>
  <si>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</si>
  <si>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</si>
  <si>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</si>
  <si>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</si>
  <si>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</si>
  <si>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</si>
  <si>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</si>
  <si>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</si>
  <si>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</si>
  <si>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</si>
  <si>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</si>
  <si>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</si>
  <si>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</si>
  <si>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</si>
  <si>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</si>
  <si>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</si>
  <si>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</si>
  <si>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</si>
  <si>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</si>
  <si>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</si>
  <si>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</si>
  <si>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</si>
  <si>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</si>
  <si>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</si>
  <si>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</si>
  <si>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</si>
  <si>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</si>
  <si>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</si>
  <si>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</si>
  <si>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</si>
  <si>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</si>
  <si>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</si>
  <si>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</si>
  <si>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</si>
  <si>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</si>
  <si>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</si>
  <si>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</si>
  <si>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</si>
  <si>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</si>
  <si>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</si>
  <si>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</si>
  <si>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</si>
  <si>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</si>
  <si>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</si>
  <si>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</si>
  <si>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</si>
  <si>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</si>
  <si>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</si>
  <si>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</si>
  <si>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</si>
  <si>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</si>
  <si>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</si>
  <si>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</si>
  <si>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</si>
  <si>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</si>
  <si>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</si>
  <si>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</si>
  <si>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</si>
  <si>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</si>
  <si>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</si>
  <si>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</si>
  <si>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</si>
  <si>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</si>
  <si>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</si>
  <si>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</si>
  <si>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</si>
  <si>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</si>
  <si>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</si>
  <si>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</si>
  <si>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</si>
  <si>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</si>
  <si>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</si>
  <si>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</si>
  <si>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</si>
  <si>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</si>
  <si>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</si>
  <si>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</si>
  <si>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</si>
  <si>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</si>
  <si>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</si>
  <si>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</si>
  <si>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</si>
  <si>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</si>
  <si>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</si>
  <si>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</si>
  <si>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</si>
  <si>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</si>
  <si>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</si>
  <si>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</si>
  <si>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</si>
  <si>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</si>
  <si>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</si>
  <si>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</si>
  <si>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</si>
  <si>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</si>
  <si>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</si>
  <si>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</si>
  <si>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</si>
  <si>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</si>
  <si>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</si>
  <si>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</si>
  <si>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</si>
  <si>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</si>
  <si>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</si>
  <si>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</si>
  <si>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</si>
  <si>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</si>
  <si>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</si>
  <si>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</si>
  <si>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</si>
  <si>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</si>
  <si>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</si>
  <si>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</si>
  <si>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</si>
  <si>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</si>
  <si>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</si>
  <si>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</si>
  <si>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</si>
  <si>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</si>
  <si>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</si>
  <si>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</si>
  <si>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</si>
  <si>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</si>
  <si>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</si>
  <si>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</si>
  <si>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</si>
  <si>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</si>
  <si>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</si>
  <si>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</si>
  <si>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</si>
  <si>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</si>
  <si>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</si>
  <si>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</si>
  <si>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</si>
  <si>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</si>
  <si>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</si>
  <si>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</si>
  <si>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</si>
  <si>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</si>
  <si>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</si>
  <si>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</si>
  <si>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</si>
  <si>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</si>
  <si>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</si>
  <si>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</si>
  <si>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</si>
  <si>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</si>
  <si>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</si>
  <si>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</si>
  <si>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</si>
  <si>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</si>
  <si>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</si>
  <si>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</si>
  <si>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</si>
  <si>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</si>
  <si>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</si>
  <si>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</si>
  <si>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</si>
  <si>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</si>
  <si>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</si>
  <si>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</si>
  <si>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</si>
  <si>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</si>
  <si>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</si>
  <si>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</si>
  <si>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</si>
  <si>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</si>
  <si>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</si>
  <si>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</si>
  <si>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</si>
  <si>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</si>
  <si>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</si>
  <si>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</si>
  <si>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</si>
  <si>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</si>
  <si>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</si>
  <si>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</si>
  <si>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</si>
  <si>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</si>
  <si>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</si>
  <si>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</si>
  <si>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</si>
  <si>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</si>
  <si>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</si>
  <si>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</si>
  <si>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</si>
  <si>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</si>
  <si>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</si>
  <si>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</si>
  <si>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</si>
  <si>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</si>
  <si>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</si>
  <si>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</si>
  <si>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</si>
  <si>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</si>
  <si>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</si>
  <si>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</si>
  <si>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</si>
  <si>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</si>
  <si>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</si>
  <si>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</si>
  <si>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</si>
  <si>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</si>
  <si>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</si>
  <si>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</si>
  <si>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</si>
  <si>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</si>
  <si>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</si>
  <si>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</si>
  <si>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</si>
  <si>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</si>
  <si>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</si>
  <si>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</si>
  <si>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</si>
  <si>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</si>
  <si>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</si>
  <si>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</si>
  <si>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</si>
  <si>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</si>
  <si>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</si>
  <si>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</si>
  <si>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</si>
  <si>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</si>
  <si>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</si>
  <si>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</si>
  <si>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</si>
  <si>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</si>
  <si>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</si>
  <si>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</si>
  <si>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</si>
  <si>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</si>
  <si>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</si>
  <si>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</si>
  <si>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</si>
  <si>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</si>
  <si>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</si>
  <si>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</si>
  <si>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</si>
  <si>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</si>
  <si>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</si>
  <si>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</si>
  <si>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</si>
  <si>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</si>
  <si>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</si>
  <si>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</si>
  <si>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</si>
  <si>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</si>
  <si>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</si>
  <si>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</si>
  <si>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</si>
  <si>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</si>
  <si>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</si>
  <si>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</si>
  <si>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</si>
  <si>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</si>
  <si>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</si>
  <si>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</si>
  <si>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</si>
  <si>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</si>
  <si>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</si>
  <si>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</si>
  <si>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</si>
  <si>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</si>
  <si>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</si>
  <si>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</si>
  <si>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</si>
  <si>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</si>
  <si>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</si>
  <si>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</si>
  <si>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</si>
  <si>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</si>
  <si>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</si>
  <si>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</si>
  <si>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</si>
  <si>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</si>
  <si>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</si>
  <si>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</si>
  <si>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</si>
  <si>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</si>
  <si>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</si>
  <si>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</si>
  <si>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</si>
  <si>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</si>
  <si>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</si>
  <si>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</si>
  <si>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</si>
  <si>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</si>
  <si>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</si>
  <si>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</si>
  <si>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</si>
  <si>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</si>
  <si>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</si>
  <si>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</si>
  <si>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</si>
  <si>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</si>
  <si>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</si>
  <si>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</si>
  <si>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</si>
  <si>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</si>
  <si>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</si>
  <si>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</si>
  <si>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</si>
  <si>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</si>
  <si>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</si>
  <si>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</si>
  <si>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</si>
  <si>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</si>
  <si>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</si>
  <si>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</si>
  <si>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</si>
  <si>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</si>
  <si>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</si>
  <si>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</si>
  <si>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</si>
  <si>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</si>
  <si>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</si>
  <si>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</si>
  <si>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</si>
  <si>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</si>
  <si>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</si>
  <si>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</si>
  <si>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</si>
  <si>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</si>
  <si>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</si>
  <si>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</si>
  <si>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</si>
  <si>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</si>
  <si>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</si>
  <si>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</si>
  <si>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</si>
  <si>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</si>
  <si>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</si>
  <si>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</si>
  <si>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</si>
  <si>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</si>
  <si>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</si>
  <si>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</si>
  <si>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</si>
  <si>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</si>
  <si>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</si>
  <si>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</si>
  <si>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</si>
  <si>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</si>
  <si>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</si>
  <si>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</si>
  <si>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</si>
  <si>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</si>
  <si>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</si>
  <si>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</si>
  <si>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</si>
  <si>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</si>
  <si>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</si>
  <si>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</si>
  <si>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</si>
  <si>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</si>
  <si>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</si>
  <si>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</si>
  <si>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</si>
  <si>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</si>
  <si>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</si>
  <si>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</si>
  <si>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</si>
  <si>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</si>
  <si>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</si>
  <si>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</si>
  <si>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</si>
  <si>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</si>
  <si>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</si>
  <si>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</si>
  <si>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</si>
  <si>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</si>
  <si>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</si>
  <si>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</si>
  <si>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</si>
  <si>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</si>
  <si>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</si>
  <si>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</si>
  <si>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</si>
  <si>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</si>
  <si>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</si>
  <si>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</si>
  <si>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</si>
  <si>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</si>
  <si>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</si>
  <si>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</si>
  <si>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</si>
  <si>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</si>
  <si>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</si>
  <si>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</si>
  <si>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</si>
  <si>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</si>
  <si>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</si>
  <si>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</si>
  <si>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</si>
  <si>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</si>
  <si>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</si>
  <si>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</si>
  <si>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</si>
  <si>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</si>
  <si>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</si>
  <si>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</si>
  <si>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</si>
  <si>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</si>
  <si>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</si>
  <si>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</si>
  <si>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</si>
  <si>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</si>
  <si>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</si>
  <si>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</si>
  <si>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</si>
  <si>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</si>
  <si>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</si>
  <si>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</si>
  <si>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</si>
  <si>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</si>
  <si>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</si>
  <si>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</si>
  <si>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</si>
  <si>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</si>
  <si>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</si>
  <si>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</si>
  <si>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</si>
  <si>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</si>
  <si>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</si>
  <si>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</si>
  <si>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</si>
  <si>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</si>
  <si>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</si>
  <si>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</si>
  <si>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</si>
  <si>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</si>
  <si>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</si>
  <si>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</si>
  <si>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</si>
  <si>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</si>
  <si>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</si>
  <si>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</si>
  <si>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</si>
  <si>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</si>
  <si>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</si>
  <si>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</si>
  <si>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</si>
  <si>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</si>
  <si>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</si>
  <si>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</si>
  <si>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</si>
  <si>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</si>
  <si>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</si>
  <si>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</si>
  <si>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</si>
  <si>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</si>
  <si>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</si>
  <si>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</si>
  <si>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</si>
  <si>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</si>
  <si>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</si>
  <si>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</si>
  <si>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</si>
  <si>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</si>
  <si>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</si>
  <si>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</si>
  <si>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</si>
  <si>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</si>
  <si>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</si>
  <si>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</si>
  <si>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</si>
  <si>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</si>
  <si>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</si>
  <si>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</si>
  <si>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</si>
  <si>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</si>
  <si>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</si>
  <si>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</si>
  <si>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</si>
  <si>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</si>
  <si>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</si>
  <si>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</si>
  <si>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</si>
  <si>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</si>
  <si>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</si>
  <si>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</si>
  <si>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</si>
  <si>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</si>
  <si>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</si>
  <si>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</si>
  <si>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</si>
  <si>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</si>
  <si>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</si>
  <si>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</si>
  <si>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</si>
  <si>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</si>
  <si>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</si>
  <si>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</si>
  <si>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</si>
  <si>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</si>
  <si>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</si>
  <si>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</si>
  <si>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</si>
  <si>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</si>
  <si>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</si>
  <si>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</si>
  <si>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</si>
  <si>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</si>
  <si>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</si>
  <si>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</si>
  <si>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</si>
  <si>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</si>
  <si>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</si>
  <si>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</si>
  <si>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</si>
  <si>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</si>
  <si>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</si>
  <si>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</si>
  <si>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</si>
  <si>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</si>
  <si>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</si>
  <si>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</si>
  <si>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</si>
  <si>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</si>
  <si>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</si>
  <si>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</si>
  <si>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</si>
  <si>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</si>
  <si>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</si>
  <si>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</si>
  <si>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</si>
  <si>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</si>
  <si>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</si>
  <si>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</si>
  <si>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</si>
  <si>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</si>
  <si>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</si>
  <si>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</si>
  <si>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</si>
  <si>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</si>
  <si>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</si>
  <si>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</si>
  <si>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</si>
  <si>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</si>
  <si>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</si>
  <si>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</si>
  <si>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</si>
  <si>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</si>
  <si>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</si>
  <si>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</si>
  <si>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</si>
  <si>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</si>
  <si>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</si>
  <si>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</si>
  <si>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</si>
  <si>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</si>
  <si>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</si>
  <si>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</si>
  <si>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</si>
  <si>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</si>
  <si>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</si>
  <si>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</si>
  <si>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</si>
  <si>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</si>
  <si>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</si>
  <si>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</si>
  <si>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</si>
  <si>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</si>
  <si>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</si>
  <si>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</si>
  <si>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</si>
  <si>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</si>
  <si>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</si>
  <si>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</si>
  <si>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</si>
  <si>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</si>
  <si>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</si>
  <si>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</si>
  <si>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</si>
  <si>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</si>
  <si>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</si>
  <si>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</si>
  <si>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</si>
  <si>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</si>
  <si>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</si>
  <si>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</si>
  <si>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</si>
  <si>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</si>
  <si>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</si>
  <si>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</si>
  <si>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</si>
  <si>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</si>
  <si>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</si>
  <si>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</si>
  <si>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</si>
  <si>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</si>
  <si>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</si>
  <si>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</si>
  <si>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</si>
  <si>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</si>
  <si>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</si>
  <si>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</si>
  <si>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</si>
  <si>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</si>
  <si>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</si>
  <si>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</si>
  <si>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</si>
  <si>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</si>
  <si>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</si>
  <si>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</si>
  <si>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</si>
  <si>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</si>
  <si>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</si>
  <si>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</si>
  <si>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</si>
  <si>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</si>
  <si>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</si>
  <si>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</si>
  <si>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</si>
  <si>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</si>
  <si>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</si>
  <si>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</si>
  <si>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</si>
  <si>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</si>
  <si>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</si>
  <si>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</si>
  <si>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</si>
  <si>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</si>
  <si>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</si>
  <si>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</si>
  <si>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</si>
  <si>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</si>
  <si>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</si>
  <si>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</si>
  <si>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</si>
  <si>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</si>
  <si>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</si>
  <si>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</si>
  <si>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</si>
  <si>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</si>
  <si>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</si>
  <si>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</si>
  <si>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</si>
  <si>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</si>
  <si>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</si>
  <si>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</si>
  <si>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</si>
  <si>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</si>
  <si>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</si>
  <si>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</si>
  <si>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</si>
  <si>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</si>
  <si>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</si>
  <si>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</si>
  <si>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</si>
  <si>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</si>
  <si>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</si>
  <si>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</si>
  <si>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</si>
  <si>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</si>
  <si>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</si>
  <si>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</si>
  <si>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</si>
  <si>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</si>
  <si>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</si>
  <si>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</si>
  <si>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</si>
  <si>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</si>
  <si>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</si>
  <si>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</si>
  <si>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</si>
  <si>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</si>
  <si>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</si>
  <si>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</si>
  <si>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</si>
  <si>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</si>
  <si>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</si>
  <si>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</si>
  <si>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</si>
  <si>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</si>
  <si>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</si>
  <si>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</si>
  <si>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</si>
  <si>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</si>
  <si>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</si>
  <si>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</si>
  <si>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</si>
  <si>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</si>
  <si>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</si>
  <si>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</si>
  <si>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</si>
  <si>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</si>
  <si>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</si>
  <si>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</si>
  <si>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</si>
  <si>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</si>
  <si>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</si>
  <si>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</si>
  <si>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</si>
  <si>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</si>
  <si>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</si>
  <si>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</si>
  <si>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</si>
  <si>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</si>
  <si>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</si>
  <si>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</si>
  <si>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</si>
  <si>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</si>
  <si>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</si>
  <si>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</si>
  <si>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</si>
  <si>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</si>
  <si>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</si>
  <si>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</si>
  <si>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</si>
  <si>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</si>
  <si>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</si>
  <si>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</si>
  <si>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</si>
  <si>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</si>
  <si>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</si>
  <si>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</si>
  <si>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</si>
  <si>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</si>
  <si>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</si>
  <si>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</si>
  <si>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</si>
  <si>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</si>
  <si>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</si>
  <si>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</si>
  <si>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</si>
  <si>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</si>
  <si>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</si>
  <si>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</si>
  <si>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</si>
  <si>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</si>
  <si>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</si>
  <si>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</si>
  <si>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</si>
  <si>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</si>
  <si>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</si>
  <si>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</si>
  <si>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</si>
  <si>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</si>
  <si>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</si>
  <si>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</si>
  <si>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</si>
  <si>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</si>
  <si>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</si>
  <si>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</si>
  <si>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</si>
  <si>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</si>
  <si>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</si>
  <si>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</si>
  <si>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</si>
  <si>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</si>
  <si>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</si>
  <si>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</si>
  <si>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</si>
  <si>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</si>
  <si>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</si>
  <si>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</si>
  <si>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</si>
  <si>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</si>
  <si>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</si>
  <si>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</si>
  <si>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</si>
  <si>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</si>
  <si>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</si>
  <si>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</si>
  <si>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</si>
  <si>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</si>
  <si>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</si>
  <si>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</si>
  <si>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</si>
  <si>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</si>
  <si>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</si>
  <si>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</si>
  <si>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</si>
  <si>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</si>
  <si>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</si>
  <si>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</si>
  <si>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</si>
  <si>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</si>
  <si>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</si>
  <si>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</si>
  <si>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</si>
  <si>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</si>
  <si>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</si>
  <si>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</si>
  <si>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</si>
  <si>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</si>
  <si>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</si>
  <si>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</si>
  <si>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</si>
  <si>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</si>
  <si>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</si>
  <si>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</si>
  <si>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</si>
  <si>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</si>
  <si>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</si>
  <si>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</si>
  <si>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</si>
  <si>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</si>
  <si>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</si>
  <si>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</si>
  <si>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</si>
  <si>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</si>
  <si>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</si>
  <si>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</si>
  <si>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</si>
  <si>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</si>
  <si>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</si>
  <si>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</si>
  <si>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</si>
  <si>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</si>
  <si>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</si>
  <si>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</si>
  <si>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</si>
  <si>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</si>
  <si>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</si>
  <si>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</si>
  <si>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</si>
  <si>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</si>
  <si>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</si>
  <si>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</si>
  <si>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</si>
  <si>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</si>
  <si>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</si>
  <si>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</si>
  <si>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</si>
  <si>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</si>
  <si>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</si>
  <si>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</si>
  <si>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</si>
  <si>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</si>
  <si>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</si>
  <si>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</si>
  <si>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</si>
  <si>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</si>
  <si>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</si>
  <si>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</si>
  <si>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</si>
  <si>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</si>
  <si>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</si>
  <si>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</si>
  <si>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</si>
  <si>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</si>
  <si>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</si>
  <si>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</si>
  <si>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</si>
  <si>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</si>
  <si>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</si>
  <si>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</si>
  <si>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</si>
  <si>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</si>
  <si>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</si>
  <si>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</si>
  <si>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</si>
  <si>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</si>
  <si>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</si>
  <si>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</si>
  <si>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</si>
  <si>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</si>
  <si>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</si>
  <si>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</si>
  <si>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</si>
  <si>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</si>
  <si>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</si>
  <si>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</si>
  <si>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</si>
  <si>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</si>
  <si>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</si>
  <si>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</si>
  <si>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</si>
  <si>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</si>
  <si>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</si>
  <si>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</si>
  <si>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</si>
  <si>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</si>
  <si>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</si>
  <si>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</si>
  <si>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</si>
  <si>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</si>
  <si>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</si>
  <si>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</si>
  <si>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</si>
  <si>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</si>
  <si>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</si>
  <si>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</si>
  <si>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</si>
  <si>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</si>
  <si>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</si>
  <si>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</si>
  <si>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</si>
  <si>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</si>
  <si>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</si>
  <si>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</si>
  <si>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</si>
  <si>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</si>
  <si>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</si>
  <si>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</si>
  <si>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</si>
  <si>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</si>
  <si>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</si>
  <si>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</si>
  <si>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</si>
  <si>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</si>
  <si>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</si>
  <si>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</si>
  <si>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</si>
  <si>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</si>
  <si>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</si>
  <si>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</si>
  <si>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</si>
  <si>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</si>
  <si>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</si>
  <si>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</si>
  <si>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</si>
  <si>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</si>
  <si>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</si>
  <si>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</si>
  <si>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</si>
  <si>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</si>
  <si>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</si>
  <si>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</si>
  <si>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</si>
  <si>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</si>
  <si>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</si>
  <si>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</si>
  <si>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</si>
  <si>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</si>
  <si>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</si>
  <si>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</si>
  <si>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</si>
  <si>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</si>
  <si>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</si>
  <si>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</si>
  <si>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</si>
  <si>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</si>
  <si>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</si>
  <si>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</si>
  <si>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</si>
  <si>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</si>
  <si>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</si>
  <si>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</si>
  <si>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</si>
  <si>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</si>
  <si>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</si>
  <si>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</si>
  <si>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</si>
  <si>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</si>
  <si>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</si>
  <si>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</si>
  <si>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</si>
  <si>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</si>
  <si>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</si>
  <si>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</si>
  <si>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</si>
  <si>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</si>
  <si>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</si>
  <si>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</si>
  <si>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</si>
  <si>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</si>
  <si>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</si>
  <si>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</si>
  <si>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</si>
  <si>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</si>
  <si>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</si>
  <si>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</si>
  <si>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</si>
  <si>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</si>
  <si>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</si>
  <si>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</si>
  <si>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</si>
  <si>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</si>
  <si>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</si>
  <si>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</si>
  <si>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</si>
  <si>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</si>
  <si>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</si>
  <si>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</si>
  <si>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</si>
  <si>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</si>
  <si>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</si>
  <si>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</si>
  <si>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</si>
  <si>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</si>
  <si>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</si>
  <si>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</si>
  <si>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</si>
  <si>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</si>
  <si>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</si>
  <si>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</si>
  <si>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</si>
  <si>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</si>
  <si>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</si>
  <si>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</si>
  <si>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</si>
  <si>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</si>
  <si>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</si>
  <si>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</si>
  <si>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</si>
  <si>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</si>
  <si>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</si>
  <si>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</si>
  <si>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</si>
  <si>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</si>
  <si>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</si>
  <si>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</si>
  <si>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</si>
  <si>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</si>
  <si>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</si>
  <si>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</si>
  <si>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</si>
  <si>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</si>
  <si>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</si>
  <si>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</si>
  <si>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</si>
  <si>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</si>
  <si>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</si>
  <si>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</si>
  <si>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</si>
  <si>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</si>
  <si>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</si>
  <si>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</si>
  <si>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</si>
  <si>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</si>
  <si>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</si>
  <si>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</si>
  <si>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</si>
  <si>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</si>
  <si>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</si>
  <si>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</si>
  <si>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</si>
  <si>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</si>
  <si>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</si>
  <si>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</si>
  <si>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</si>
  <si>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</si>
  <si>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</si>
  <si>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</si>
  <si>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</si>
  <si>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</si>
  <si>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</si>
  <si>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</si>
  <si>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</si>
  <si>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</si>
  <si>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</si>
  <si>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</si>
  <si>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</si>
  <si>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</si>
  <si>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</si>
  <si>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</si>
  <si>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</si>
  <si>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</si>
  <si>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</si>
  <si>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</si>
  <si>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</si>
  <si>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</si>
  <si>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</si>
  <si>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</si>
  <si>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</si>
  <si>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</si>
  <si>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</si>
  <si>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</si>
  <si>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</si>
  <si>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</si>
  <si>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</si>
  <si>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</si>
  <si>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</si>
  <si>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</si>
  <si>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</si>
  <si>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</si>
  <si>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</si>
  <si>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</si>
  <si>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</si>
  <si>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</si>
  <si>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</si>
  <si>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</si>
  <si>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</si>
  <si>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</si>
  <si>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</si>
  <si>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</si>
  <si>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</si>
  <si>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</si>
  <si>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</si>
  <si>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</si>
  <si>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</si>
  <si>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</si>
  <si>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</si>
  <si>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</si>
  <si>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</si>
  <si>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</si>
  <si>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</si>
  <si>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</si>
  <si>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</si>
  <si>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</si>
  <si>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</si>
  <si>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</si>
  <si>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</si>
  <si>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</si>
  <si>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</si>
  <si>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</si>
  <si>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</si>
  <si>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</si>
  <si>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</si>
  <si>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</si>
  <si>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</si>
  <si>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</si>
  <si>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</si>
  <si>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</si>
  <si>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</si>
  <si>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</si>
  <si>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</si>
  <si>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</si>
  <si>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</si>
  <si>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</si>
  <si>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</si>
  <si>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</si>
  <si>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</si>
  <si>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</si>
  <si>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</si>
  <si>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</si>
  <si>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</si>
  <si>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</si>
  <si>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</si>
  <si>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</si>
  <si>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</si>
  <si>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</si>
  <si>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</si>
  <si>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</si>
  <si>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</si>
  <si>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</si>
  <si>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</si>
  <si>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</si>
  <si>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</si>
  <si>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</si>
  <si>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</si>
  <si>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</si>
  <si>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</si>
  <si>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</si>
  <si>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</si>
  <si>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</si>
  <si>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</si>
  <si>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</si>
  <si>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</si>
  <si>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</si>
  <si>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</si>
  <si>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</si>
  <si>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</si>
  <si>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</si>
  <si>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</si>
  <si>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</si>
  <si>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</si>
  <si>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</si>
  <si>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</si>
  <si>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</si>
  <si>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</si>
  <si>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</si>
  <si>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</si>
  <si>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</si>
  <si>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</si>
  <si>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</si>
  <si>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</si>
  <si>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</si>
  <si>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</si>
  <si>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</si>
  <si>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</si>
  <si>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</si>
  <si>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</si>
  <si>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</si>
  <si>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</si>
  <si>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</si>
  <si>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</si>
  <si>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</si>
  <si>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</si>
  <si>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</si>
  <si>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</si>
  <si>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</si>
  <si>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</si>
  <si>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</si>
  <si>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</si>
  <si>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</si>
  <si>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</si>
  <si>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</si>
  <si>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</si>
  <si>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</si>
  <si>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</si>
  <si>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</si>
  <si>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</si>
  <si>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</si>
  <si>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</si>
  <si>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</si>
  <si>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</si>
  <si>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</si>
  <si>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</si>
  <si>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</si>
  <si>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</si>
  <si>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</si>
  <si>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</si>
  <si>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</si>
  <si>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</si>
  <si>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</si>
  <si>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</si>
  <si>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</si>
  <si>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</si>
  <si>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</si>
  <si>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</si>
  <si>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</si>
  <si>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</si>
  <si>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</si>
  <si>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</si>
  <si>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</si>
  <si>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</si>
  <si>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</si>
  <si>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</si>
  <si>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</si>
  <si>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</si>
  <si>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</si>
  <si>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</si>
  <si>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</si>
  <si>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</si>
  <si>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</si>
  <si>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</si>
  <si>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</si>
  <si>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</si>
  <si>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</si>
  <si>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</si>
  <si>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</si>
  <si>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</si>
  <si>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</si>
  <si>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</si>
  <si>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</si>
  <si>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</si>
  <si>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</si>
  <si>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</si>
  <si>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</si>
  <si>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</si>
  <si>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</si>
  <si>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</si>
  <si>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</si>
  <si>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</si>
  <si>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</si>
  <si>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</si>
  <si>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</si>
  <si>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</si>
  <si>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</si>
  <si>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</si>
  <si>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</si>
  <si>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</si>
  <si>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</si>
  <si>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</si>
  <si>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</si>
  <si>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</si>
  <si>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</si>
  <si>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</si>
  <si>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</si>
  <si>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</si>
  <si>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</si>
  <si>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</si>
  <si>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</si>
  <si>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</si>
  <si>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</si>
  <si>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</si>
  <si>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</si>
  <si>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</si>
  <si>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</si>
  <si>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</si>
  <si>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</si>
  <si>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</si>
  <si>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</si>
  <si>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</si>
  <si>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</si>
  <si>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</si>
  <si>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</si>
  <si>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</si>
  <si>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</si>
  <si>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</si>
  <si>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</si>
  <si>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</si>
  <si>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</si>
  <si>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</si>
  <si>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</si>
  <si>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</si>
  <si>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</si>
  <si>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</si>
  <si>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</si>
  <si>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</si>
  <si>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</si>
  <si>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</si>
  <si>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</si>
  <si>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</si>
  <si>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</si>
  <si>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</si>
  <si>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</si>
  <si>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</si>
  <si>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</si>
  <si>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</si>
  <si>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</si>
  <si>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</si>
  <si>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</si>
  <si>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</si>
  <si>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</si>
  <si>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</si>
  <si>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</si>
  <si>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</si>
  <si>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</si>
  <si>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</si>
  <si>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</si>
  <si>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</si>
  <si>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</si>
  <si>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</si>
  <si>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</si>
  <si>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</si>
  <si>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</si>
  <si>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</si>
  <si>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</si>
  <si>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</si>
  <si>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</si>
  <si>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</si>
  <si>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</si>
  <si>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</si>
  <si>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</si>
  <si>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</si>
  <si>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</si>
  <si>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</si>
  <si>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</si>
  <si>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</si>
  <si>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</si>
  <si>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</si>
  <si>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</si>
  <si>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</si>
  <si>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</si>
  <si>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</si>
  <si>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</si>
  <si>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</si>
  <si>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</si>
  <si>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</si>
  <si>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</si>
  <si>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</si>
  <si>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</si>
  <si>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</si>
  <si>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</si>
  <si>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</si>
  <si>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</si>
  <si>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</si>
  <si>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</si>
  <si>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</si>
  <si>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</si>
  <si>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</si>
  <si>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</si>
  <si>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</si>
  <si>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</si>
  <si>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</si>
  <si>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</si>
  <si>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</si>
  <si>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</si>
  <si>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</si>
  <si>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</si>
  <si>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</si>
  <si>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</si>
  <si>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</si>
  <si>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</si>
  <si>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</si>
  <si>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</si>
  <si>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</si>
  <si>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</si>
  <si>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</si>
  <si>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</si>
  <si>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</si>
  <si>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</si>
  <si>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</si>
  <si>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</si>
  <si>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</si>
  <si>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</si>
  <si>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</si>
  <si>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</si>
  <si>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</si>
  <si>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</si>
  <si>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</si>
  <si>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</si>
  <si>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</si>
  <si>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</si>
  <si>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</si>
  <si>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</si>
  <si>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</si>
  <si>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</si>
  <si>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</si>
  <si>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</si>
  <si>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</si>
  <si>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</si>
  <si>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</si>
  <si>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</si>
  <si>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</si>
  <si>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</si>
  <si>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</si>
  <si>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</si>
  <si>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</si>
  <si>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</si>
  <si>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</si>
  <si>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</si>
  <si>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</si>
  <si>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</si>
  <si>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</si>
  <si>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</si>
  <si>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</si>
  <si>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</si>
  <si>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</si>
  <si>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</si>
  <si>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</si>
  <si>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</si>
  <si>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</si>
  <si>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</si>
  <si>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</si>
  <si>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</si>
  <si>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</si>
  <si>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</si>
  <si>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</si>
  <si>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</si>
  <si>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</si>
  <si>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</si>
  <si>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</si>
  <si>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</si>
  <si>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</si>
  <si>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</si>
  <si>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</si>
  <si>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</si>
  <si>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</si>
  <si>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</si>
  <si>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</si>
  <si>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</si>
  <si>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</si>
  <si>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</si>
  <si>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</si>
  <si>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</si>
  <si>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</si>
  <si>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</si>
  <si>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</si>
  <si>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</si>
  <si>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</si>
  <si>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</si>
  <si>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</si>
  <si>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</si>
  <si>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</si>
  <si>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</si>
  <si>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</si>
  <si>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</si>
  <si>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</si>
  <si>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</si>
  <si>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</si>
  <si>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</si>
  <si>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</si>
  <si>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</si>
  <si>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</si>
  <si>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</si>
  <si>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</si>
  <si>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</si>
  <si>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</si>
  <si>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</si>
  <si>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</si>
  <si>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</si>
  <si>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</si>
  <si>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</si>
  <si>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</si>
  <si>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</si>
  <si>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</si>
  <si>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</si>
  <si>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</si>
  <si>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</si>
  <si>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</si>
  <si>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</si>
  <si>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</si>
  <si>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</si>
  <si>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</si>
  <si>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</si>
  <si>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</si>
  <si>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</si>
  <si>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</si>
  <si>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</si>
  <si>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</si>
  <si>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</si>
  <si>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</si>
  <si>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</si>
  <si>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</si>
  <si>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</si>
  <si>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</si>
  <si>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</si>
  <si>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</si>
  <si>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</si>
  <si>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</si>
  <si>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</si>
  <si>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</si>
  <si>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</si>
  <si>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</si>
  <si>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</si>
  <si>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</si>
  <si>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</si>
  <si>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</si>
  <si>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</si>
  <si>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</si>
  <si>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</si>
  <si>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</si>
  <si>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</si>
  <si>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</si>
  <si>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</si>
  <si>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</si>
  <si>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</si>
  <si>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</si>
  <si>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</si>
  <si>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</si>
  <si>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</si>
  <si>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</si>
  <si>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</si>
  <si>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</si>
  <si>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</si>
  <si>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</si>
  <si>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</si>
  <si>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</si>
  <si>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</si>
  <si>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</si>
  <si>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</si>
  <si>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</si>
  <si>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</si>
  <si>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</si>
  <si>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</si>
  <si>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</si>
  <si>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</si>
  <si>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</si>
  <si>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</si>
  <si>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</si>
  <si>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</si>
  <si>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</si>
  <si>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</si>
  <si>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</si>
  <si>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</si>
  <si>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</si>
  <si>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</si>
  <si>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</si>
  <si>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</si>
  <si>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</si>
  <si>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</si>
  <si>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</si>
  <si>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</si>
  <si>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</si>
  <si>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</si>
  <si>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</si>
  <si>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</si>
  <si>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</si>
  <si>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</si>
  <si>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</si>
  <si>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</si>
  <si>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</si>
  <si>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</si>
  <si>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</si>
  <si>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</si>
  <si>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</si>
  <si>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</si>
  <si>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</si>
  <si>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</si>
  <si>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</si>
  <si>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</si>
  <si>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</si>
  <si>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</si>
  <si>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</si>
  <si>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</si>
  <si>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</si>
  <si>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</si>
  <si>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</si>
  <si>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</si>
  <si>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</si>
  <si>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</si>
  <si>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</si>
  <si>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</si>
  <si>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</si>
  <si>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</si>
  <si>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</si>
  <si>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</si>
  <si>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</si>
  <si>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</si>
  <si>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</si>
  <si>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</si>
  <si>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</si>
  <si>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</si>
  <si>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</si>
  <si>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</si>
  <si>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</si>
  <si>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</si>
  <si>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</si>
  <si>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</si>
  <si>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</si>
  <si>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</si>
  <si>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</si>
  <si>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</si>
  <si>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</si>
  <si>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</si>
  <si>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</si>
  <si>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</si>
  <si>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</si>
  <si>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</si>
  <si>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</si>
  <si>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</si>
  <si>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</si>
  <si>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</si>
  <si>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</si>
  <si>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</si>
  <si>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</si>
  <si>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</si>
  <si>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</si>
  <si>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</si>
  <si>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</si>
  <si>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</si>
  <si>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</si>
  <si>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</si>
  <si>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</si>
  <si>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</si>
  <si>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</si>
  <si>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</si>
  <si>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</si>
  <si>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</si>
  <si>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</si>
  <si>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</si>
  <si>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</si>
  <si>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</si>
  <si>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</si>
  <si>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</si>
  <si>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</si>
  <si>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</si>
  <si>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</si>
  <si>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</si>
  <si>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</si>
  <si>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</si>
  <si>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</si>
  <si>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</si>
  <si>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</si>
  <si>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</si>
  <si>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</si>
  <si>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</si>
  <si>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</si>
  <si>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</si>
  <si>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</si>
  <si>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</si>
  <si>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</si>
  <si>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</si>
  <si>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</si>
  <si>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</si>
  <si>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</si>
  <si>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</si>
  <si>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</si>
  <si>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</si>
  <si>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</si>
  <si>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</si>
  <si>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</si>
  <si>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</si>
  <si>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</si>
  <si>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</si>
  <si>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</si>
  <si>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</si>
  <si>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</si>
  <si>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</si>
  <si>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</si>
  <si>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</si>
  <si>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</si>
  <si>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</si>
  <si>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</si>
  <si>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</si>
  <si>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</si>
  <si>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</si>
  <si>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</si>
  <si>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</si>
  <si>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</si>
  <si>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</si>
  <si>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</si>
  <si>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</si>
  <si>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</si>
  <si>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</si>
  <si>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</si>
  <si>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</si>
  <si>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</si>
  <si>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</si>
  <si>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</si>
  <si>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</si>
  <si>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</si>
  <si>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</si>
  <si>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</si>
  <si>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</si>
  <si>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</si>
  <si>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</si>
  <si>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</si>
  <si>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</si>
  <si>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</si>
  <si>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</si>
  <si>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</si>
  <si>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</si>
  <si>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</si>
  <si>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</si>
  <si>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</si>
  <si>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</si>
  <si>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</si>
  <si>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</si>
  <si>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</si>
  <si>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</si>
  <si>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</si>
  <si>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</si>
  <si>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</si>
  <si>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</si>
  <si>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</si>
  <si>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</si>
  <si>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</si>
  <si>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</si>
  <si>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</si>
  <si>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</si>
  <si>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</si>
  <si>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</si>
  <si>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</si>
  <si>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</si>
  <si>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</si>
  <si>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</si>
  <si>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</si>
  <si>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</si>
  <si>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</si>
  <si>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</si>
  <si>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</si>
  <si>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</si>
  <si>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</si>
  <si>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</si>
  <si>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</si>
  <si>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</si>
  <si>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</si>
  <si>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</si>
  <si>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</si>
  <si>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</si>
  <si>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</si>
  <si>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</si>
  <si>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</si>
  <si>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</si>
  <si>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</si>
  <si>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</si>
  <si>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</si>
  <si>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</si>
  <si>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</si>
  <si>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</si>
  <si>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</si>
  <si>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</si>
  <si>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</si>
  <si>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</si>
  <si>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</si>
  <si>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</si>
  <si>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</si>
  <si>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</si>
  <si>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</si>
  <si>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</si>
  <si>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</si>
  <si>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</si>
  <si>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</si>
  <si>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</si>
  <si>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</si>
  <si>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</si>
  <si>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</si>
  <si>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</si>
  <si>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</si>
  <si>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</si>
  <si>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</si>
  <si>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</si>
  <si>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</si>
  <si>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</si>
  <si>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</si>
  <si>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</si>
  <si>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</si>
  <si>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</si>
  <si>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</si>
  <si>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</si>
  <si>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</si>
  <si>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</si>
  <si>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</si>
  <si>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</si>
  <si>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</si>
  <si>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</si>
  <si>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</si>
  <si>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</si>
  <si>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</si>
  <si>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</si>
  <si>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</si>
  <si>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</si>
  <si>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</si>
  <si>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</si>
  <si>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</si>
  <si>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</si>
  <si>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</si>
  <si>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</si>
  <si>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</si>
  <si>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</si>
  <si>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</si>
  <si>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</si>
  <si>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</si>
  <si>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</si>
  <si>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</si>
  <si>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</si>
  <si>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</si>
  <si>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</si>
  <si>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</si>
  <si>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</si>
  <si>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</si>
  <si>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</si>
  <si>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</si>
  <si>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</si>
  <si>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</si>
  <si>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</si>
  <si>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</si>
  <si>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</si>
  <si>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</si>
  <si>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</si>
  <si>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</si>
  <si>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</si>
  <si>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</si>
  <si>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</si>
  <si>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</si>
  <si>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</si>
  <si>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</si>
  <si>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</si>
  <si>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</si>
  <si>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</si>
  <si>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</si>
  <si>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</si>
  <si>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</si>
  <si>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</si>
  <si>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</si>
  <si>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</si>
  <si>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</si>
  <si>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</si>
  <si>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</si>
  <si>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</si>
  <si>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</si>
  <si>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</si>
  <si>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</si>
  <si>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</si>
  <si>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</si>
  <si>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</si>
  <si>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</si>
  <si>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</si>
  <si>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</si>
  <si>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</si>
  <si>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</si>
  <si>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</si>
  <si>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</si>
  <si>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</si>
  <si>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</si>
  <si>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</si>
  <si>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</si>
  <si>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</si>
  <si>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</si>
  <si>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</si>
  <si>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</si>
  <si>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</si>
  <si>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</si>
  <si>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</si>
  <si>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</si>
  <si>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</si>
  <si>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</si>
  <si>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</si>
  <si>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</si>
  <si>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</si>
  <si>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</si>
  <si>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</si>
  <si>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</si>
  <si>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</si>
  <si>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</si>
  <si>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</si>
  <si>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</si>
  <si>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</si>
  <si>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</si>
  <si>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</si>
  <si>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</si>
  <si>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</si>
  <si>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</si>
  <si>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</si>
  <si>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</si>
  <si>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</si>
  <si>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</si>
  <si>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</si>
  <si>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</si>
  <si>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</si>
  <si>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</si>
  <si>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</si>
  <si>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</si>
  <si>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</si>
  <si>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</si>
  <si>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</si>
  <si>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</si>
  <si>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</si>
  <si>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</si>
  <si>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</si>
  <si>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</si>
  <si>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</si>
  <si>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</si>
  <si>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</si>
  <si>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</si>
  <si>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</si>
  <si>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</si>
  <si>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</si>
  <si>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</si>
  <si>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</si>
  <si>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</si>
  <si>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</si>
  <si>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</si>
  <si>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</si>
  <si>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</si>
  <si>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</si>
  <si>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</si>
  <si>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</si>
  <si>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</si>
  <si>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</si>
  <si>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</si>
  <si>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</si>
  <si>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</si>
  <si>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</si>
  <si>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</si>
  <si>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</si>
  <si>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</si>
  <si>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</si>
  <si>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</si>
  <si>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</si>
  <si>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</si>
  <si>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</si>
  <si>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</si>
  <si>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</si>
  <si>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</si>
  <si>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</si>
  <si>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</si>
  <si>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</si>
  <si>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</si>
  <si>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</si>
  <si>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</si>
  <si>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</si>
  <si>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</si>
  <si>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</si>
  <si>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</si>
  <si>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</si>
  <si>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</si>
  <si>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</si>
  <si>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</si>
  <si>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</si>
  <si>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</si>
  <si>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</si>
  <si>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</si>
  <si>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</si>
  <si>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</si>
  <si>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</si>
  <si>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</si>
  <si>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</si>
  <si>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</si>
  <si>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</si>
  <si>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</si>
  <si>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</si>
  <si>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</si>
  <si>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</si>
  <si>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</si>
  <si>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</si>
  <si>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</si>
  <si>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</si>
  <si>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</si>
  <si>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</si>
  <si>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</si>
  <si>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</si>
  <si>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</si>
  <si>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</si>
  <si>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</si>
  <si>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</si>
  <si>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</si>
  <si>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</si>
  <si>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</si>
  <si>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</si>
  <si>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</si>
  <si>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</si>
  <si>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</si>
  <si>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</si>
  <si>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</si>
  <si>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</si>
  <si>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</si>
  <si>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</si>
  <si>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</si>
  <si>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</si>
  <si>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</si>
  <si>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</si>
  <si>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</si>
  <si>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</si>
  <si>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</si>
  <si>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</si>
  <si>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</si>
  <si>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</si>
  <si>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</si>
  <si>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</si>
  <si>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</si>
  <si>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</si>
  <si>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</si>
  <si>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</si>
  <si>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</si>
  <si>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</si>
  <si>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</si>
  <si>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</si>
  <si>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</si>
  <si>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</si>
  <si>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</si>
  <si>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</si>
  <si>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</si>
  <si>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</si>
  <si>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</si>
  <si>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</si>
  <si>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</si>
  <si>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</si>
  <si>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</si>
  <si>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</si>
  <si>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</si>
  <si>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</si>
  <si>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</si>
  <si>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</si>
  <si>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</si>
  <si>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</si>
  <si>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</si>
  <si>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</si>
  <si>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</si>
  <si>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</si>
  <si>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</si>
  <si>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</si>
  <si>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</si>
  <si>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</si>
  <si>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</si>
  <si>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</si>
  <si>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</si>
  <si>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</si>
  <si>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</si>
  <si>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</si>
  <si>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</si>
  <si>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</si>
  <si>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</si>
  <si>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</si>
  <si>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</si>
  <si>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</si>
  <si>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</si>
  <si>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</si>
  <si>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</si>
  <si>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</si>
  <si>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</si>
  <si>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</si>
  <si>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</si>
  <si>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</si>
  <si>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</si>
  <si>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</si>
  <si>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</si>
  <si>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</si>
  <si>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</si>
  <si>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</si>
  <si>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</si>
  <si>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</si>
  <si>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</si>
  <si>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</si>
  <si>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</si>
  <si>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</si>
  <si>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</si>
  <si>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</si>
  <si>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</si>
  <si>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</si>
  <si>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</si>
  <si>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</si>
  <si>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</si>
  <si>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</si>
  <si>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</si>
  <si>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</si>
  <si>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</si>
  <si>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</si>
  <si>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</si>
  <si>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</si>
  <si>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</si>
  <si>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</si>
  <si>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</si>
  <si>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</si>
  <si>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</si>
  <si>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</si>
  <si>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</si>
  <si>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</si>
  <si>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</si>
  <si>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</si>
  <si>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</si>
  <si>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</si>
  <si>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</si>
  <si>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</si>
  <si>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</si>
  <si>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</si>
  <si>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</si>
  <si>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</si>
  <si>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</si>
  <si>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</si>
  <si>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</si>
  <si>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</si>
  <si>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</si>
  <si>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</si>
  <si>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</si>
  <si>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</si>
  <si>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</si>
  <si>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</si>
  <si>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</si>
  <si>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</si>
  <si>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</si>
  <si>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</si>
  <si>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</si>
  <si>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</si>
  <si>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</si>
  <si>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</si>
  <si>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</si>
  <si>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</si>
  <si>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</si>
  <si>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</si>
  <si>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</si>
  <si>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</si>
  <si>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</si>
  <si>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</si>
  <si>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</si>
  <si>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</si>
  <si>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</si>
  <si>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</si>
  <si>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</si>
  <si>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</si>
  <si>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</si>
  <si>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</si>
  <si>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</si>
  <si>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</si>
  <si>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</si>
  <si>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</si>
  <si>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</si>
  <si>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</si>
  <si>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</si>
  <si>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</si>
  <si>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</si>
  <si>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</si>
  <si>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</si>
  <si>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</si>
  <si>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</si>
  <si>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</si>
  <si>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</si>
  <si>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</si>
  <si>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</si>
  <si>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</si>
  <si>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</si>
  <si>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</si>
  <si>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</si>
  <si>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</si>
  <si>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</si>
  <si>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</si>
  <si>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</si>
  <si>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</si>
  <si>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</si>
  <si>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</si>
  <si>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</si>
  <si>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</si>
  <si>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</si>
  <si>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</si>
  <si>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</si>
  <si>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</si>
  <si>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</si>
  <si>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</si>
  <si>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</si>
  <si>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</si>
  <si>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</si>
  <si>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</si>
  <si>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</si>
  <si>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</si>
  <si>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</si>
  <si>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</si>
  <si>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</si>
  <si>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</si>
  <si>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</si>
  <si>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</si>
  <si>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</si>
  <si>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</si>
  <si>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</si>
  <si>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</si>
  <si>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</si>
  <si>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</si>
  <si>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</si>
  <si>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</si>
  <si>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</si>
  <si>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</si>
  <si>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</si>
  <si>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</si>
  <si>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</si>
  <si>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</si>
  <si>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</si>
  <si>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</si>
  <si>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</si>
  <si>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</si>
  <si>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</si>
  <si>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</si>
  <si>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</si>
  <si>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</si>
  <si>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</si>
  <si>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</si>
  <si>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</si>
  <si>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</si>
  <si>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</si>
  <si>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</si>
  <si>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</si>
  <si>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</si>
  <si>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</si>
  <si>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</si>
  <si>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</si>
  <si>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</si>
  <si>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</si>
  <si>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</si>
  <si>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</si>
  <si>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</si>
  <si>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</si>
  <si>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</si>
  <si>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</si>
  <si>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</si>
  <si>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</si>
  <si>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</si>
  <si>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</si>
  <si>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</si>
  <si>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</si>
  <si>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</si>
  <si>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</si>
  <si>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</si>
  <si>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</si>
  <si>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</si>
  <si>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</si>
  <si>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</si>
  <si>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</si>
  <si>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</si>
  <si>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</si>
  <si>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</si>
  <si>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</si>
  <si>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</si>
  <si>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</si>
  <si>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</si>
  <si>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</si>
  <si>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</si>
  <si>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</si>
  <si>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</si>
  <si>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</si>
  <si>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</si>
  <si>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</si>
  <si>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</si>
  <si>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</si>
  <si>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</si>
  <si>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</si>
  <si>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</si>
  <si>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</si>
  <si>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</si>
  <si>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</si>
  <si>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</si>
  <si>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</si>
  <si>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</si>
  <si>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</si>
  <si>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</si>
  <si>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</si>
  <si>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</si>
  <si>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</si>
  <si>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</si>
  <si>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</si>
  <si>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</si>
  <si>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</si>
  <si>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</si>
  <si>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</si>
  <si>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</si>
  <si>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</si>
  <si>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</si>
  <si>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</si>
  <si>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</si>
  <si>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</si>
  <si>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</si>
  <si>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</si>
  <si>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</si>
  <si>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</si>
  <si>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</si>
  <si>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</si>
  <si>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</si>
  <si>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</si>
  <si>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</si>
  <si>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</si>
  <si>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</si>
  <si>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</si>
  <si>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</si>
  <si>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</si>
  <si>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</si>
  <si>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</si>
  <si>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</si>
  <si>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</si>
  <si>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</si>
  <si>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</si>
  <si>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</si>
  <si>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</si>
  <si>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</si>
  <si>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</si>
  <si>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</si>
  <si>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</si>
  <si>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</si>
  <si>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</si>
  <si>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</si>
  <si>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</si>
  <si>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</si>
  <si>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</si>
  <si>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</si>
  <si>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</si>
  <si>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</si>
  <si>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</si>
  <si>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</si>
  <si>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</si>
  <si>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</si>
  <si>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</si>
  <si>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</si>
  <si>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</si>
  <si>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</si>
  <si>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</si>
  <si>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</si>
  <si>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</si>
  <si>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</si>
  <si>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</si>
  <si>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</si>
  <si>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</si>
  <si>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</si>
  <si>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</si>
  <si>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</si>
  <si>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</si>
  <si>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</si>
  <si>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</si>
  <si>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</si>
  <si>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</si>
  <si>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</si>
  <si>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</si>
  <si>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</si>
  <si>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</si>
  <si>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</si>
  <si>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</si>
  <si>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</si>
  <si>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</si>
  <si>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</si>
  <si>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</si>
  <si>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</si>
  <si>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</si>
  <si>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</si>
  <si>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</si>
  <si>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</si>
  <si>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</si>
  <si>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</si>
  <si>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</si>
  <si>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</si>
  <si>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</si>
  <si>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</si>
  <si>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</si>
  <si>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</si>
  <si>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</si>
  <si>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</si>
  <si>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</si>
  <si>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</si>
  <si>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</si>
  <si>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</si>
  <si>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</si>
  <si>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</si>
  <si>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</si>
  <si>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</si>
  <si>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</si>
  <si>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</si>
  <si>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</si>
  <si>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</si>
  <si>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</si>
  <si>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</si>
  <si>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</si>
  <si>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</si>
  <si>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</si>
  <si>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</si>
  <si>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</si>
  <si>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</si>
  <si>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</si>
  <si>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</si>
  <si>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</si>
  <si>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</si>
  <si>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</si>
  <si>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</si>
  <si>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</si>
  <si>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</si>
  <si>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</si>
  <si>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</si>
  <si>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</si>
  <si>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</si>
  <si>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</si>
  <si>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</si>
  <si>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</si>
  <si>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</si>
  <si>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</si>
  <si>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</si>
  <si>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</si>
  <si>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</si>
  <si>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</si>
  <si>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</si>
  <si>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</si>
  <si>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</si>
  <si>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</si>
  <si>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</si>
  <si>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</si>
  <si>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</si>
  <si>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</si>
  <si>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</si>
  <si>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</si>
  <si>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</si>
  <si>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</si>
  <si>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</si>
  <si>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</si>
  <si>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</si>
  <si>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</si>
  <si>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</si>
  <si>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</si>
  <si>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</si>
  <si>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</si>
  <si>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</si>
  <si>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</si>
  <si>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</si>
  <si>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</si>
  <si>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</si>
  <si>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</si>
  <si>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</si>
  <si>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</si>
  <si>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</si>
  <si>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</si>
  <si>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</si>
  <si>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</si>
  <si>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</si>
  <si>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</si>
  <si>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</si>
  <si>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</si>
  <si>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</si>
  <si>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</si>
  <si>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</si>
  <si>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</si>
  <si>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</si>
  <si>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</si>
  <si>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</si>
  <si>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</si>
  <si>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</si>
  <si>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</si>
  <si>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</si>
  <si>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</si>
  <si>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</si>
  <si>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</si>
  <si>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</si>
  <si>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</si>
  <si>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</si>
  <si>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</si>
  <si>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</si>
  <si>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</si>
  <si>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</si>
  <si>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</si>
  <si>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</si>
  <si>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</si>
  <si>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</si>
  <si>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</si>
  <si>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</si>
  <si>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</si>
  <si>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</si>
  <si>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</si>
  <si>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</si>
  <si>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</si>
  <si>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</si>
  <si>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</si>
  <si>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</si>
  <si>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</si>
  <si>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</si>
  <si>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</si>
  <si>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</si>
  <si>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</si>
  <si>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</si>
  <si>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</si>
  <si>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</si>
  <si>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</si>
  <si>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</si>
  <si>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</si>
  <si>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</si>
  <si>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</si>
  <si>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</si>
  <si>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</si>
  <si>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</si>
  <si>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</si>
  <si>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</si>
  <si>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</si>
  <si>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</si>
  <si>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</si>
  <si>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</si>
  <si>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</si>
  <si>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</si>
  <si>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</si>
  <si>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</si>
  <si>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</si>
  <si>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</si>
  <si>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</si>
  <si>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</si>
  <si>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</si>
  <si>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</si>
  <si>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</si>
  <si>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</si>
  <si>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</si>
  <si>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</si>
  <si>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</si>
  <si>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</si>
  <si>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</si>
  <si>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</si>
  <si>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</si>
  <si>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</si>
  <si>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</si>
  <si>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</si>
  <si>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</si>
  <si>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</si>
  <si>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</si>
  <si>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</si>
  <si>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</si>
  <si>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</si>
  <si>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</si>
  <si>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</si>
  <si>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</si>
  <si>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</si>
  <si>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</si>
  <si>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</si>
  <si>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</si>
  <si>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</si>
  <si>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</si>
  <si>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</si>
  <si>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</si>
  <si>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</si>
  <si>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</si>
  <si>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</si>
  <si>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</si>
  <si>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</si>
  <si>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</si>
  <si>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</si>
  <si>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</si>
  <si>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</si>
  <si>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</si>
  <si>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</si>
  <si>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</si>
  <si>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</si>
  <si>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</si>
  <si>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</si>
  <si>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</si>
  <si>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</si>
  <si>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</si>
  <si>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</si>
  <si>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</si>
  <si>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</si>
  <si>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</si>
  <si>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</si>
  <si>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</si>
  <si>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</si>
  <si>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</si>
  <si>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</si>
  <si>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</si>
  <si>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</si>
  <si>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</si>
  <si>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</si>
  <si>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</si>
  <si>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</si>
  <si>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</si>
  <si>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</si>
  <si>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</si>
  <si>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</si>
  <si>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</si>
  <si>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</si>
  <si>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</si>
  <si>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</si>
  <si>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</si>
  <si>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</si>
  <si>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</si>
  <si>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</si>
  <si>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</si>
  <si>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</si>
  <si>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</si>
  <si>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</si>
  <si>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</si>
  <si>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</si>
  <si>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</si>
  <si>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</si>
  <si>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</si>
  <si>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</si>
  <si>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</si>
  <si>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</si>
  <si>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</si>
  <si>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</si>
  <si>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</si>
  <si>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</si>
  <si>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</si>
  <si>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</si>
  <si>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</si>
  <si>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</si>
  <si>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</si>
  <si>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</si>
  <si>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</si>
  <si>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</si>
  <si>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</si>
  <si>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</si>
  <si>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</si>
  <si>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</si>
  <si>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</si>
  <si>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</si>
  <si>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</si>
  <si>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</si>
  <si>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</si>
  <si>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</si>
  <si>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</si>
  <si>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</si>
  <si>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</si>
  <si>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</si>
  <si>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</si>
  <si>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</si>
  <si>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</si>
  <si>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</si>
  <si>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</si>
  <si>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</si>
  <si>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</si>
  <si>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</si>
  <si>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</si>
  <si>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</si>
  <si>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</si>
  <si>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</si>
  <si>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</si>
  <si>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</si>
  <si>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</si>
  <si>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</si>
  <si>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</si>
  <si>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</si>
  <si>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</si>
  <si>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</si>
  <si>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</si>
  <si>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</si>
  <si>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</si>
  <si>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</si>
  <si>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</si>
  <si>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</si>
  <si>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</si>
  <si>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</si>
  <si>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</si>
  <si>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</si>
  <si>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</si>
  <si>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</si>
  <si>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</si>
  <si>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</si>
  <si>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</si>
  <si>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</si>
  <si>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</si>
  <si>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</si>
  <si>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</si>
  <si>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</si>
  <si>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</si>
  <si>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</si>
  <si>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</si>
  <si>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</si>
  <si>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</si>
  <si>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</si>
  <si>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</si>
  <si>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</si>
  <si>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</si>
  <si>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</si>
  <si>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</si>
  <si>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</si>
  <si>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</si>
  <si>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</si>
  <si>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</si>
  <si>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</si>
  <si>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</si>
  <si>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</si>
  <si>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</si>
  <si>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</si>
  <si>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</si>
  <si>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</si>
  <si>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</si>
  <si>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</si>
  <si>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</si>
  <si>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</si>
  <si>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</si>
  <si>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</si>
  <si>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</si>
  <si>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</si>
  <si>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</si>
  <si>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</si>
  <si>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</si>
  <si>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</si>
  <si>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</si>
  <si>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</si>
  <si>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</si>
  <si>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</si>
  <si>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</si>
  <si>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</si>
  <si>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</si>
  <si>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</si>
  <si>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</si>
  <si>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</si>
  <si>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</si>
  <si>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</si>
  <si>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</si>
  <si>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</si>
  <si>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</si>
  <si>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</si>
  <si>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</si>
  <si>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</si>
  <si>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</si>
  <si>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</si>
  <si>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</si>
  <si>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</si>
  <si>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</si>
  <si>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</si>
  <si>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</si>
  <si>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</si>
  <si>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</si>
  <si>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</si>
  <si>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</si>
  <si>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</si>
  <si>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</si>
  <si>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</si>
  <si>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</si>
  <si>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</si>
  <si>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</si>
  <si>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</si>
  <si>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</si>
  <si>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</si>
  <si>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</si>
  <si>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</si>
  <si>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</si>
  <si>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</si>
  <si>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</si>
  <si>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</si>
  <si>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</si>
  <si>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</si>
  <si>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</si>
  <si>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</si>
  <si>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</si>
  <si>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</si>
  <si>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</si>
  <si>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</si>
  <si>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</si>
  <si>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</si>
  <si>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</si>
  <si>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</si>
  <si>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</si>
  <si>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</si>
  <si>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</si>
  <si>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</si>
  <si>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</si>
  <si>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</si>
  <si>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</si>
  <si>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</si>
  <si>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</si>
  <si>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</si>
  <si>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</si>
  <si>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</si>
  <si>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</si>
  <si>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</si>
  <si>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</si>
  <si>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</si>
  <si>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</si>
  <si>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</si>
  <si>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</si>
  <si>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</si>
  <si>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</si>
  <si>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</si>
  <si>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</si>
  <si>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</si>
  <si>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</si>
  <si>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</si>
  <si>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</si>
  <si>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</si>
  <si>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</si>
  <si>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</si>
  <si>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</si>
  <si>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</si>
  <si>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</si>
  <si>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</si>
  <si>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</si>
  <si>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</si>
  <si>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</si>
  <si>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</si>
  <si>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</si>
  <si>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</si>
  <si>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</si>
  <si>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</si>
  <si>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</si>
  <si>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</si>
  <si>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2023PA-006</t>
  </si>
  <si>
    <t>Piedmont Housing Group II, LLC</t>
  </si>
  <si>
    <t>Josh Thomason</t>
  </si>
  <si>
    <t>Managing Member</t>
  </si>
  <si>
    <t>josh@piedmonthousinggroup.com</t>
  </si>
  <si>
    <t>Scott Nelson</t>
  </si>
  <si>
    <t>scott@piedmonthousinggroup.com</t>
  </si>
  <si>
    <t>Windsor Crossing</t>
  </si>
  <si>
    <t>Unincorporated County</t>
  </si>
  <si>
    <t>Central Bank of Kansas City</t>
  </si>
  <si>
    <t>Affordable Equity Partners</t>
  </si>
  <si>
    <t>Amortizing</t>
  </si>
  <si>
    <t>DDA/QCT</t>
  </si>
  <si>
    <t>Electric Heat Pump</t>
  </si>
  <si>
    <t>GA DCA South Low-Rise Apartment</t>
  </si>
  <si>
    <t>N/a</t>
  </si>
  <si>
    <t>turnkey</t>
  </si>
  <si>
    <t>Cable/internet</t>
  </si>
  <si>
    <t>Piedmont Housnig Group II, LLC</t>
  </si>
  <si>
    <t>The Applicant has structured this application so that it is consistent with DCA's requirements regarding Project Feasibility, Viability and Conformance with the Plan as detailed in the 2023 QAP.  Windsor Crossing complies with the 2023 QAP and the Applicant has not requested any waivers or deviations from these standards.  Berrien County's section 8 program is administered by DCA, therefore the applicant has used DCA's applicable utility allowances in this application.</t>
  </si>
  <si>
    <t>Applicant agrees to provide 2 services from 2 categories listed in the QAP.</t>
  </si>
  <si>
    <t>Novogradac and Company, LLC</t>
  </si>
  <si>
    <t>Not Applicable - Applicate does not meet the criteria for an appraisal to be required.</t>
  </si>
  <si>
    <t>Terracon</t>
  </si>
  <si>
    <t>Windsor Crossing, LP</t>
  </si>
  <si>
    <t>Purchase Contract</t>
  </si>
  <si>
    <t>Not Applicable</t>
  </si>
  <si>
    <t>City of Nashville</t>
  </si>
  <si>
    <t>Covered Porch</t>
  </si>
  <si>
    <t>The development is proposed as family tenancy and agrees to provide the amenities above.</t>
  </si>
  <si>
    <t>Not Applicable.  Proposed development is 100% new construction.</t>
  </si>
  <si>
    <t>The Applicant has prepared the Conceptual Site Development Plan consistent with DCA's requirements.  Required documentation is included in tab 15.</t>
  </si>
  <si>
    <t>Agree</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</si>
  <si>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t>
  </si>
  <si>
    <t>The Applicant will follow all required accessibility standards and retain DCA qualified consultant.</t>
  </si>
  <si>
    <t>Architectural documentation is included in tab 18.  The selections above match the selections on the CSDP cover sheet.</t>
  </si>
  <si>
    <t>Yes - see Comment</t>
  </si>
  <si>
    <t>The Project Team for Windsor Crossing is identical to the Project Team that was deemed Qualified during 2023 pre-applicaiton.  Windsor Crossing is a new construction development and the Project Team was approved for new construction at pre-application. There have not been any changes to the pre-applicaiton submitted by the development team other than the site location is no longer TBD.</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</si>
  <si>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</si>
  <si>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</si>
  <si>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required to submit the legal opinions noted in this section.  </t>
  </si>
  <si>
    <t>Not Applicable - The proposed development is 100% new construction and will not result in the relocation/displacement of existing tenants.</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</si>
  <si>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</si>
  <si>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The Applicant agrees to prepare and submit an AFFH marketing plan that includes items A-E noted in this section if the applicant is selected for funding.</t>
  </si>
  <si>
    <t>9% Credit Competitive Round only</t>
  </si>
  <si>
    <t>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t>
  </si>
  <si>
    <t>Southern Georgia Regional Commission</t>
  </si>
  <si>
    <t>www.sgrc.us/public-transit-services.html</t>
  </si>
  <si>
    <t>Transit in 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27 for more details including a letter from SGRC confirming the details above.
SGRC website:  www.sgrc.us/public-transit-services.html</t>
  </si>
  <si>
    <t>Berrien Primary School</t>
  </si>
  <si>
    <t>Berrien Elementary School</t>
  </si>
  <si>
    <t>Berrien Middle School</t>
  </si>
  <si>
    <t>Berrien High School</t>
  </si>
  <si>
    <t>Not Applicable - The Applicant is not claiming points in this section.</t>
  </si>
  <si>
    <t>TBD (only if Option A)</t>
  </si>
  <si>
    <t>The Applicant commits to the items noted above under A. Engagement Commitment and Reporting and is therefore eligible for two (2) points.</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</si>
  <si>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</si>
  <si>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Nashville/Berrien County</t>
  </si>
  <si>
    <t>Windsor Crossing is located in unincorporated Berrien County, GA, outside of the city limits of Nashville, Ga.  DCA has never issued an award in unincorporated Berrien County outside of the the city limits of Nashville in a DCA Housing Credit Competitive Round. Therefore the Applicant has met the criteria for and is eligible for the 5 points noted in this section.</t>
  </si>
  <si>
    <t>A. DCA PBRA Agreement - The Applicant commits to accept DCA-administered PBRA at the proposed development for not more than 20% of overall units, if funding is available. Windsor Crossing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t>
  </si>
  <si>
    <t>Not applicable to 9% deals.</t>
  </si>
  <si>
    <t>Not applicable to new construction deals.</t>
  </si>
  <si>
    <t>XXIII.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t>
  </si>
  <si>
    <t>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2023,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28.</t>
  </si>
  <si>
    <t>Colquitt EMC</t>
  </si>
  <si>
    <t>The site is zoned AU (Agricultural Use) which allows for Multi-Family housing.  See Tab 10 for required documentation.</t>
  </si>
  <si>
    <t>The Applicant has selected "Family" tenancy and will not have age restrictions.</t>
  </si>
  <si>
    <t>Building</t>
  </si>
  <si>
    <t>On-site laundry</t>
  </si>
  <si>
    <t>The Applicant has received a commitment of funds that meet the QAP requirements (Capital Magnet Funds issued by a CDFI) in this section to qualify for two (2) points.  Windsor Crossing consists of 44 units and the total qualifying sources (TQS) equal $20,000 per unit which meets the per unit reqirement to be eligible for two (2) points.  Therefore the Applicant is eligible for two (2) points.</t>
  </si>
  <si>
    <t>123, 198, 202</t>
  </si>
  <si>
    <t>2 and 3</t>
  </si>
  <si>
    <t>13 and 15</t>
  </si>
  <si>
    <t>18 and 95</t>
  </si>
  <si>
    <t>187-188, 194-195, 197-199</t>
  </si>
  <si>
    <t>The Berrien County and City of Nashville Urban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3-Include an assessment of the Targeted Area’s existing infrastructure - See pages 13 and 15 of the CRP
4-Designate implementation measures-See pages 18 and 95 of the CRP
5-Be officially approved or re-approved by a Local Government within ten (10) years of Application Submission.-The CRP was originally adopted on January 9, 2012.  It was re-approved on June 8, 2020 and amended and updated on April 24, 2023.  See Tab 29 Section 03 for supporting documentation which are the Resolutions of the Governing Body approving the CRP.
The applicant qualifies for 2 points for meeting these primary criteria.
ADDTIONAL CRITERIA
1-Solicit public input and engagement during its creation.  See the letter in Tab 5 of Section 29 from the local government affirming and describing the public input and engagement that went into the planning process of the CRP
2-Local government demonstrates a financial commitment to advancing the CRP in the form of funds raised, funds allocated, tax incentives or local government fee waivers- See the letter from the local government in Tab 4 of Section 29 describing the amounts and types of investments made in the CRP.
3- The application site is located within a Qualified Census Tract (QCT) - the site is located in a QCT.  See QCT map provided in Section 29-9.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miles of the proposed site, are expected to cost $5.9M in total, of which, $2.4M is expected to be spent between June 2023 and December 31, 2025. 
This investment far exceeds $20,000 per unit qualifying the Applicant for 2 points for Third Party Capital Investment.  All supporting documentation is included in Tab 29.
In total, the applicant qualifies for 7 points in this section.</t>
  </si>
  <si>
    <t>www.huduser.gov</t>
  </si>
  <si>
    <t>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t>
  </si>
  <si>
    <t>Not applicable.</t>
  </si>
  <si>
    <t>Central Bank of Kansas City 1</t>
  </si>
  <si>
    <t>Central Bank of Kansas City 2</t>
  </si>
  <si>
    <t>Not applicable - not in basis</t>
  </si>
  <si>
    <t>The market study confirms extremely low vacancy rates in the area of the proposed development, along with fast absorption rates and a low overall capture rate.  These factors prove the demand for affordable housing is very high in the Nashville/Berrien County area.  See the market study in Tab 5.
Per page 74 of the Market Study, the analyst estimates stabilized occupancy will be 95% or higher.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</si>
  <si>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The partnership/applicant has site control via a purchase agreement and corresponding assignment.  Please see the Site Control documents in tab 8.</t>
  </si>
  <si>
    <t>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</si>
  <si>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mfowler@sgrc.us</t>
  </si>
  <si>
    <t>Windsor Crossing received a letter from the Nashville/Berrien County GICH.  The Nashville/Berrien County GICH is a certified GICH alumnus.  The letter issued to Windsor Crossing by the Nashville/Berrien County GICH was signed by Henry Yawn, Nashville/Berrien County GICH Primary Contact Designee. The GICH letter clearly identifies the boundaries of their GICH community and identifies Windsor Crossing as located within the boundaries of the Nashville/Berrien County GICH community.  The letter issued to Windsor Crossing is the only letter issued by the Nashville/Berrien County GICH in the 2023 9% competitive round. The Applicant also received a letter from the Chairman of the Berrien County Board of Commissioners (who is authorized to speak on behalf of Berrien County) agreeing to the issuance of the GICH letter for Windsor Crossing. 
Therefore the Applicant has met the criteria for and is eligible for the 2 point noted in this section.  All required supporting documentation is included in tab 41.</t>
  </si>
  <si>
    <t>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t>
  </si>
  <si>
    <t>Easement for Access and Utilities</t>
  </si>
  <si>
    <t>The Applicant entered into an easement option agreement and corresponding easement agreement to allow for the site entrance road and utilities to be constructed and utilized for the subject property.  Therefore, the site will be legally accessed from Windsor Avenue.  The easement option and easement agreement call for the Applicant to pay $30,000 to the owner of the subject easement parcels (the “Grantor”).  That $30,000 is reflected in this line item.  Please see folders 9, 11, and 12 for copies of the easement option agreement and easement agreement.</t>
  </si>
  <si>
    <t>The Applicant entered into an easement option agreement and corresponding easement agreement to allow for the site entrance road and utilities to be constructed and utilized for the subject property.  Therefore, the site will be legally accessed from Windsor Avenue.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9 for a copy of the easement option agreement and easement agreement.</t>
  </si>
  <si>
    <t>The Applicant entered into an easement option agreement and corresponding easement agreement to allow for the site entrance road and utilities to be constructed and utilized for the subject property.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11 for a copy of the easement option agreement and easement agreement.
Power will be provided by Colquitt EMC.  Required documentation is included in tab 11.</t>
  </si>
  <si>
    <t>The Applicant entered into an easement option agreement and corresponding easement agreement to allow for the site entrance road and utilities to be constructed and utilized for the subject property.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12 for a copy of the easement option agreement and easement agreement.
The City of Nashville will provide water and sewer.  Both water and sewer lines are located in the right-of-way of Windsor Avenue directly adjacent to the easement/property.  Required documentation is included in Tab 12.</t>
  </si>
  <si>
    <t xml:space="preserve">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Central Bank of Kansas City will charge an industry standard 1% loan fee in the amount of $9,000 which is 1% of the total perm loan amount of $900,000.  
Central Bank of Kansas City will also be providing a construction loans up to $11,100,000.  A loan fee of 1.0% is being charged ($110,000).  This loan fee is included in the "Construction Loan Fee" line item above.
</t>
  </si>
  <si>
    <t>In addition to the parcel upon which Windsor Crossing will be developed (Parcel #072 17 002), the environmental professional also performed their environmental assessment on the two parcels upon which the Applicant has obtained easement rights over for site access and utilities (Parcel #072A 156 000 and Parcel #072A 156 000).  While this isn’t required, we engaged the environmental professional to perform this work in the abundance of caution.  As DCA will notice in the ESA, references are made to all three parcels in the ESA, even though only Parcel 072 17 002 will be owned by the Partnership.
Additionally, The environmental professional delineated wetlands on the site.  No development will occur in or near the wetlands.  The Applicant agrees to record a covenant on the property to ensure that no wetlands are disturbed.
The Phase 1 environmental assessment proves the Application has met the threshold requirements.  See tab 7 for the phase 1 environmental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</si>
</sst>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64" fontId="3" fillId="6" borderId="128" xfId="1" applyNumberFormat="1" applyFont="1" applyFill="1" applyBorder="1" applyProtection="1">
      <protection locked="0"/>
    </xf>
    <xf numFmtId="164" fontId="3" fillId="11" borderId="128" xfId="1" applyNumberFormat="1" applyFon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9" xr:uid="{898BF805-3656-4BEF-BAA7-F0A31A5A7FF3}"/>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Windsor Crossing</v>
      </c>
    </row>
    <row r="3" spans="1:6" ht="15" customHeight="1">
      <c r="A3" s="666" t="str">
        <f>CONCATENATE('Part I-Project Identification'!F26,", ", 'Part I-Project Identification'!J26," County")</f>
        <v>Nashville, Berrien County</v>
      </c>
    </row>
    <row r="4" spans="1:6" ht="12" customHeight="1">
      <c r="A4" s="1121"/>
    </row>
    <row r="5" spans="1:6" ht="72" customHeight="1">
      <c r="A5" s="3011" t="s">
        <v>6071</v>
      </c>
      <c r="B5" s="3012" t="s">
        <v>3895</v>
      </c>
      <c r="C5" s="3012"/>
      <c r="D5" s="3012"/>
      <c r="E5" s="3012"/>
      <c r="F5" s="3012"/>
    </row>
    <row r="6" spans="1:6" ht="6.6" customHeight="1">
      <c r="A6" s="3011"/>
      <c r="B6" s="3012"/>
      <c r="C6" s="3012"/>
      <c r="D6" s="3012"/>
      <c r="E6" s="3012"/>
      <c r="F6" s="3012"/>
    </row>
    <row r="7" spans="1:6" ht="72" customHeight="1">
      <c r="A7" s="3011"/>
      <c r="B7" s="3012"/>
      <c r="C7" s="3012"/>
      <c r="D7" s="3012"/>
      <c r="E7" s="3012"/>
      <c r="F7" s="3012"/>
    </row>
    <row r="8" spans="1:6" ht="6.6" customHeight="1">
      <c r="A8" s="3011"/>
    </row>
    <row r="9" spans="1:6" ht="72" customHeight="1">
      <c r="A9" s="3011"/>
    </row>
    <row r="10" spans="1:6" ht="6.6" customHeight="1">
      <c r="A10" s="3011"/>
    </row>
    <row r="11" spans="1:6" ht="72" customHeight="1">
      <c r="A11" s="3011"/>
    </row>
    <row r="12" spans="1:6" ht="6.6" customHeight="1">
      <c r="A12" s="3011"/>
    </row>
    <row r="13" spans="1:6" ht="72" customHeight="1">
      <c r="A13" s="3011"/>
    </row>
    <row r="14" spans="1:6" ht="6.6" customHeight="1">
      <c r="A14" s="3011"/>
    </row>
    <row r="15" spans="1:6" ht="72" customHeight="1">
      <c r="A15" s="3011"/>
    </row>
    <row r="16" spans="1:6" ht="6.6" customHeight="1">
      <c r="A16" s="3011"/>
    </row>
    <row r="17" spans="1:1" ht="72" customHeight="1">
      <c r="A17" s="3011"/>
    </row>
    <row r="18" spans="1:1" ht="6.6" customHeight="1">
      <c r="A18" s="3011"/>
    </row>
    <row r="19" spans="1:1" ht="72" customHeight="1">
      <c r="A19" s="3011"/>
    </row>
    <row r="20" spans="1:1" ht="6.6" customHeight="1">
      <c r="A20" s="3011"/>
    </row>
    <row r="21" spans="1:1" ht="72" customHeight="1">
      <c r="A21" s="3011"/>
    </row>
    <row r="22" spans="1:1" ht="6.6" customHeight="1">
      <c r="A22" s="3011"/>
    </row>
    <row r="23" spans="1:1" ht="72" customHeight="1">
      <c r="A23" s="301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8" zoomScaleNormal="100" workbookViewId="0">
      <selection activeCell="Q228" sqref="Q228"/>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2" t="str">
        <f>CONCATENATE("PART FOUR - PROJECTED REVENUES &amp; EXPENSES","  -  ",'Part I-Project Identification'!$O$7," ",'Part I-Project Identification'!$F$25,", ",'Part I-Project Identification'!F26,", ",'Part I-Project Identification'!J26," County")</f>
        <v>PART FOUR - PROJECTED REVENUES &amp; EXPENSES  -  2023-0 Windsor Crossing, Nashville, Berrien County</v>
      </c>
      <c r="B2" s="3663"/>
      <c r="C2" s="3663"/>
      <c r="D2" s="3663"/>
      <c r="E2" s="3663"/>
      <c r="F2" s="3663"/>
      <c r="G2" s="3663"/>
      <c r="H2" s="3663"/>
      <c r="I2" s="3663"/>
      <c r="J2" s="3663"/>
      <c r="K2" s="3663"/>
      <c r="L2" s="3663"/>
      <c r="M2" s="3663"/>
      <c r="N2" s="3663"/>
      <c r="O2" s="3663"/>
      <c r="P2" s="3663"/>
      <c r="Q2" s="3664"/>
      <c r="T2" s="1427" t="str">
        <f>A2</f>
        <v>PART FOUR - PROJECTED REVENUES &amp; EXPENSES  -  2023-0 Windsor Crossing, Nashville, Berrien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7" t="str">
        <f>'Part I-Project Identification'!$O$28</f>
        <v>Berrien Co.</v>
      </c>
      <c r="Q4" s="3667"/>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6" t="s">
        <v>3045</v>
      </c>
      <c r="MG4" s="3556" t="s">
        <v>3046</v>
      </c>
      <c r="MH4" s="3556" t="s">
        <v>3047</v>
      </c>
      <c r="MI4" s="3556" t="s">
        <v>3048</v>
      </c>
      <c r="MJ4" s="35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4" t="s">
        <v>3203</v>
      </c>
      <c r="R5" s="830"/>
      <c r="S5" s="337"/>
      <c r="T5" s="337"/>
      <c r="U5" s="337"/>
      <c r="W5" s="338"/>
      <c r="X5" s="3556" t="s">
        <v>3681</v>
      </c>
      <c r="Y5" s="3556" t="s">
        <v>3682</v>
      </c>
      <c r="Z5" s="3556" t="s">
        <v>3683</v>
      </c>
      <c r="AA5" s="3556" t="s">
        <v>3684</v>
      </c>
      <c r="AB5" s="3556" t="s">
        <v>3685</v>
      </c>
      <c r="AC5" s="3556" t="s">
        <v>3686</v>
      </c>
      <c r="AD5" s="3556" t="s">
        <v>3687</v>
      </c>
      <c r="AE5" s="3556" t="s">
        <v>3688</v>
      </c>
      <c r="AF5" s="3556" t="s">
        <v>3689</v>
      </c>
      <c r="AG5" s="3556" t="s">
        <v>3690</v>
      </c>
      <c r="AH5" s="3556" t="s">
        <v>861</v>
      </c>
      <c r="AI5" s="3556" t="s">
        <v>705</v>
      </c>
      <c r="AJ5" s="3556" t="s">
        <v>706</v>
      </c>
      <c r="AK5" s="3556" t="s">
        <v>707</v>
      </c>
      <c r="AL5" s="3556" t="s">
        <v>708</v>
      </c>
      <c r="AM5" s="3556" t="s">
        <v>862</v>
      </c>
      <c r="AN5" s="3556" t="s">
        <v>2131</v>
      </c>
      <c r="AO5" s="3556" t="s">
        <v>2132</v>
      </c>
      <c r="AP5" s="3556" t="s">
        <v>2133</v>
      </c>
      <c r="AQ5" s="3556" t="s">
        <v>2134</v>
      </c>
      <c r="AR5" s="3556" t="s">
        <v>3692</v>
      </c>
      <c r="AS5" s="3556" t="s">
        <v>3693</v>
      </c>
      <c r="AT5" s="3556" t="s">
        <v>3694</v>
      </c>
      <c r="AU5" s="3556" t="s">
        <v>3695</v>
      </c>
      <c r="AV5" s="3556" t="s">
        <v>3691</v>
      </c>
      <c r="AW5" s="3556" t="s">
        <v>863</v>
      </c>
      <c r="AX5" s="3556" t="s">
        <v>2135</v>
      </c>
      <c r="AY5" s="3556" t="s">
        <v>2136</v>
      </c>
      <c r="AZ5" s="3556" t="s">
        <v>2137</v>
      </c>
      <c r="BA5" s="3556" t="s">
        <v>2138</v>
      </c>
      <c r="BB5" s="3556" t="s">
        <v>3696</v>
      </c>
      <c r="BC5" s="3556" t="s">
        <v>3697</v>
      </c>
      <c r="BD5" s="3556" t="s">
        <v>3698</v>
      </c>
      <c r="BE5" s="3556" t="s">
        <v>3699</v>
      </c>
      <c r="BF5" s="3556" t="s">
        <v>3700</v>
      </c>
      <c r="BG5" s="3556" t="s">
        <v>123</v>
      </c>
      <c r="BH5" s="3556" t="s">
        <v>2139</v>
      </c>
      <c r="BI5" s="3556" t="s">
        <v>2140</v>
      </c>
      <c r="BJ5" s="3556" t="s">
        <v>2141</v>
      </c>
      <c r="BK5" s="3556" t="s">
        <v>1080</v>
      </c>
      <c r="BL5" s="3556" t="s">
        <v>3701</v>
      </c>
      <c r="BM5" s="3556" t="s">
        <v>3702</v>
      </c>
      <c r="BN5" s="3556" t="s">
        <v>3703</v>
      </c>
      <c r="BO5" s="3556" t="s">
        <v>3704</v>
      </c>
      <c r="BP5" s="3556" t="s">
        <v>3705</v>
      </c>
      <c r="BQ5" s="3556" t="s">
        <v>517</v>
      </c>
      <c r="BR5" s="3556" t="s">
        <v>518</v>
      </c>
      <c r="BS5" s="3556" t="s">
        <v>535</v>
      </c>
      <c r="BT5" s="3556" t="s">
        <v>536</v>
      </c>
      <c r="BU5" s="3556" t="s">
        <v>537</v>
      </c>
      <c r="BV5" s="3556" t="s">
        <v>3706</v>
      </c>
      <c r="BW5" s="3556" t="s">
        <v>3707</v>
      </c>
      <c r="BX5" s="3556" t="s">
        <v>3708</v>
      </c>
      <c r="BY5" s="3556" t="s">
        <v>3709</v>
      </c>
      <c r="BZ5" s="3556" t="s">
        <v>3710</v>
      </c>
      <c r="CA5" s="3556" t="s">
        <v>538</v>
      </c>
      <c r="CB5" s="3556" t="s">
        <v>539</v>
      </c>
      <c r="CC5" s="3556" t="s">
        <v>540</v>
      </c>
      <c r="CD5" s="3556" t="s">
        <v>541</v>
      </c>
      <c r="CE5" s="3556" t="s">
        <v>542</v>
      </c>
      <c r="CF5" s="3556" t="s">
        <v>543</v>
      </c>
      <c r="CG5" s="3556" t="s">
        <v>544</v>
      </c>
      <c r="CH5" s="3556" t="s">
        <v>872</v>
      </c>
      <c r="CI5" s="3556" t="s">
        <v>873</v>
      </c>
      <c r="CJ5" s="3556" t="s">
        <v>874</v>
      </c>
      <c r="CK5" s="3556" t="s">
        <v>3716</v>
      </c>
      <c r="CL5" s="3556" t="s">
        <v>3717</v>
      </c>
      <c r="CM5" s="3556" t="s">
        <v>3718</v>
      </c>
      <c r="CN5" s="3556" t="s">
        <v>3719</v>
      </c>
      <c r="CO5" s="3556" t="s">
        <v>3720</v>
      </c>
      <c r="CP5" s="3556" t="s">
        <v>3711</v>
      </c>
      <c r="CQ5" s="3556" t="s">
        <v>3712</v>
      </c>
      <c r="CR5" s="3556" t="s">
        <v>3713</v>
      </c>
      <c r="CS5" s="3556" t="s">
        <v>3714</v>
      </c>
      <c r="CT5" s="3556" t="s">
        <v>3715</v>
      </c>
      <c r="CU5" s="3556" t="s">
        <v>3721</v>
      </c>
      <c r="CV5" s="3556" t="s">
        <v>3722</v>
      </c>
      <c r="CW5" s="3556" t="s">
        <v>3723</v>
      </c>
      <c r="CX5" s="3556" t="s">
        <v>3724</v>
      </c>
      <c r="CY5" s="3556" t="s">
        <v>3725</v>
      </c>
      <c r="CZ5" s="3556" t="s">
        <v>466</v>
      </c>
      <c r="DA5" s="3556" t="s">
        <v>467</v>
      </c>
      <c r="DB5" s="3556" t="s">
        <v>468</v>
      </c>
      <c r="DC5" s="3556" t="s">
        <v>469</v>
      </c>
      <c r="DD5" s="3556" t="s">
        <v>470</v>
      </c>
      <c r="DE5" s="3556" t="s">
        <v>3726</v>
      </c>
      <c r="DF5" s="3556" t="s">
        <v>3727</v>
      </c>
      <c r="DG5" s="3556" t="s">
        <v>3728</v>
      </c>
      <c r="DH5" s="3556" t="s">
        <v>3729</v>
      </c>
      <c r="DI5" s="3556" t="s">
        <v>3730</v>
      </c>
      <c r="DJ5" s="3556" t="s">
        <v>822</v>
      </c>
      <c r="DK5" s="3556" t="s">
        <v>823</v>
      </c>
      <c r="DL5" s="3556" t="s">
        <v>824</v>
      </c>
      <c r="DM5" s="3556" t="s">
        <v>825</v>
      </c>
      <c r="DN5" s="3556" t="s">
        <v>826</v>
      </c>
      <c r="DO5" s="3556" t="s">
        <v>827</v>
      </c>
      <c r="DP5" s="3556" t="s">
        <v>828</v>
      </c>
      <c r="DQ5" s="3556" t="s">
        <v>829</v>
      </c>
      <c r="DR5" s="3556" t="s">
        <v>830</v>
      </c>
      <c r="DS5" s="3556" t="s">
        <v>831</v>
      </c>
      <c r="DT5" s="3556" t="s">
        <v>3731</v>
      </c>
      <c r="DU5" s="3556" t="s">
        <v>3732</v>
      </c>
      <c r="DV5" s="3556" t="s">
        <v>3733</v>
      </c>
      <c r="DW5" s="3556" t="s">
        <v>3734</v>
      </c>
      <c r="DX5" s="3556" t="s">
        <v>3735</v>
      </c>
      <c r="DY5" s="3556" t="s">
        <v>3736</v>
      </c>
      <c r="DZ5" s="3556" t="s">
        <v>3737</v>
      </c>
      <c r="EA5" s="3556" t="s">
        <v>3738</v>
      </c>
      <c r="EB5" s="3556" t="s">
        <v>3739</v>
      </c>
      <c r="EC5" s="3556" t="s">
        <v>3740</v>
      </c>
      <c r="ED5" s="3556" t="s">
        <v>2235</v>
      </c>
      <c r="EE5" s="3556" t="s">
        <v>2236</v>
      </c>
      <c r="EF5" s="3556" t="s">
        <v>2237</v>
      </c>
      <c r="EG5" s="3556" t="s">
        <v>2238</v>
      </c>
      <c r="EH5" s="3556" t="s">
        <v>2239</v>
      </c>
      <c r="EI5" s="3556" t="s">
        <v>3741</v>
      </c>
      <c r="EJ5" s="3556" t="s">
        <v>3742</v>
      </c>
      <c r="EK5" s="3556" t="s">
        <v>3743</v>
      </c>
      <c r="EL5" s="3556" t="s">
        <v>3744</v>
      </c>
      <c r="EM5" s="3556" t="s">
        <v>3745</v>
      </c>
      <c r="EN5" s="3556" t="s">
        <v>3746</v>
      </c>
      <c r="EO5" s="3556" t="s">
        <v>3747</v>
      </c>
      <c r="EP5" s="3556" t="s">
        <v>3748</v>
      </c>
      <c r="EQ5" s="3556" t="s">
        <v>3749</v>
      </c>
      <c r="ER5" s="3556" t="s">
        <v>3750</v>
      </c>
      <c r="ES5" s="3556" t="s">
        <v>111</v>
      </c>
      <c r="ET5" s="3556" t="s">
        <v>1083</v>
      </c>
      <c r="EU5" s="3556" t="s">
        <v>1084</v>
      </c>
      <c r="EV5" s="3556" t="s">
        <v>1139</v>
      </c>
      <c r="EW5" s="3556" t="s">
        <v>1140</v>
      </c>
      <c r="EX5" s="3556" t="s">
        <v>126</v>
      </c>
      <c r="EY5" s="3556" t="s">
        <v>1141</v>
      </c>
      <c r="EZ5" s="3556" t="s">
        <v>1142</v>
      </c>
      <c r="FA5" s="3556" t="s">
        <v>1143</v>
      </c>
      <c r="FB5" s="3556" t="s">
        <v>1144</v>
      </c>
      <c r="FC5" s="3556" t="s">
        <v>3751</v>
      </c>
      <c r="FD5" s="3556" t="s">
        <v>3752</v>
      </c>
      <c r="FE5" s="3556" t="s">
        <v>3753</v>
      </c>
      <c r="FF5" s="3556" t="s">
        <v>3754</v>
      </c>
      <c r="FG5" s="3556" t="s">
        <v>3755</v>
      </c>
      <c r="FH5" s="3556" t="s">
        <v>125</v>
      </c>
      <c r="FI5" s="3556" t="s">
        <v>853</v>
      </c>
      <c r="FJ5" s="3556" t="s">
        <v>854</v>
      </c>
      <c r="FK5" s="3556" t="s">
        <v>855</v>
      </c>
      <c r="FL5" s="3556" t="s">
        <v>856</v>
      </c>
      <c r="FM5" s="3556" t="s">
        <v>3756</v>
      </c>
      <c r="FN5" s="3556" t="s">
        <v>3757</v>
      </c>
      <c r="FO5" s="3556" t="s">
        <v>3758</v>
      </c>
      <c r="FP5" s="3556" t="s">
        <v>3759</v>
      </c>
      <c r="FQ5" s="3556" t="s">
        <v>3760</v>
      </c>
      <c r="FR5" s="3556" t="s">
        <v>124</v>
      </c>
      <c r="FS5" s="3556" t="s">
        <v>857</v>
      </c>
      <c r="FT5" s="3556" t="s">
        <v>858</v>
      </c>
      <c r="FU5" s="3556" t="s">
        <v>859</v>
      </c>
      <c r="FV5" s="3556" t="s">
        <v>860</v>
      </c>
      <c r="FW5" s="3556" t="s">
        <v>752</v>
      </c>
      <c r="FX5" s="3556" t="s">
        <v>753</v>
      </c>
      <c r="FY5" s="3556" t="s">
        <v>754</v>
      </c>
      <c r="FZ5" s="3556" t="s">
        <v>755</v>
      </c>
      <c r="GA5" s="3556" t="s">
        <v>756</v>
      </c>
      <c r="GB5" s="3556" t="s">
        <v>896</v>
      </c>
      <c r="GC5" s="3556" t="s">
        <v>897</v>
      </c>
      <c r="GD5" s="3556" t="s">
        <v>898</v>
      </c>
      <c r="GE5" s="3556" t="s">
        <v>899</v>
      </c>
      <c r="GF5" s="3556" t="s">
        <v>2234</v>
      </c>
      <c r="GG5" s="3556" t="s">
        <v>1344</v>
      </c>
      <c r="GH5" s="3556" t="s">
        <v>1345</v>
      </c>
      <c r="GI5" s="3556" t="s">
        <v>1346</v>
      </c>
      <c r="GJ5" s="3556" t="s">
        <v>1347</v>
      </c>
      <c r="GK5" s="3556" t="s">
        <v>1348</v>
      </c>
      <c r="GL5" s="3556" t="s">
        <v>411</v>
      </c>
      <c r="GM5" s="3556" t="s">
        <v>412</v>
      </c>
      <c r="GN5" s="3556" t="s">
        <v>413</v>
      </c>
      <c r="GO5" s="3556" t="s">
        <v>414</v>
      </c>
      <c r="GP5" s="3556" t="s">
        <v>415</v>
      </c>
      <c r="GQ5" s="3556" t="s">
        <v>14</v>
      </c>
      <c r="GR5" s="3556" t="s">
        <v>15</v>
      </c>
      <c r="GS5" s="3556" t="s">
        <v>16</v>
      </c>
      <c r="GT5" s="3556" t="s">
        <v>17</v>
      </c>
      <c r="GU5" s="3556" t="s">
        <v>18</v>
      </c>
      <c r="GV5" s="3556" t="s">
        <v>214</v>
      </c>
      <c r="GW5" s="3556" t="s">
        <v>215</v>
      </c>
      <c r="GX5" s="3556" t="s">
        <v>216</v>
      </c>
      <c r="GY5" s="3556" t="s">
        <v>1680</v>
      </c>
      <c r="GZ5" s="3556" t="s">
        <v>1681</v>
      </c>
      <c r="HA5" s="3556" t="s">
        <v>1682</v>
      </c>
      <c r="HB5" s="3556" t="s">
        <v>550</v>
      </c>
      <c r="HC5" s="3556" t="s">
        <v>551</v>
      </c>
      <c r="HD5" s="3556" t="s">
        <v>552</v>
      </c>
      <c r="HE5" s="3556" t="s">
        <v>553</v>
      </c>
      <c r="HF5" s="3556" t="s">
        <v>19</v>
      </c>
      <c r="HG5" s="3556" t="s">
        <v>20</v>
      </c>
      <c r="HH5" s="3556" t="s">
        <v>21</v>
      </c>
      <c r="HI5" s="3556" t="s">
        <v>22</v>
      </c>
      <c r="HJ5" s="3556" t="s">
        <v>23</v>
      </c>
      <c r="HK5" s="3556" t="s">
        <v>465</v>
      </c>
      <c r="HL5" s="3556" t="s">
        <v>407</v>
      </c>
      <c r="HM5" s="3556" t="s">
        <v>408</v>
      </c>
      <c r="HN5" s="3556" t="s">
        <v>409</v>
      </c>
      <c r="HO5" s="3556" t="s">
        <v>410</v>
      </c>
      <c r="HP5" s="3556" t="s">
        <v>2042</v>
      </c>
      <c r="HQ5" s="3556" t="s">
        <v>2043</v>
      </c>
      <c r="HR5" s="3556" t="s">
        <v>2044</v>
      </c>
      <c r="HS5" s="3556" t="s">
        <v>1385</v>
      </c>
      <c r="HT5" s="3556" t="s">
        <v>1386</v>
      </c>
      <c r="HU5" s="3556" t="s">
        <v>24</v>
      </c>
      <c r="HV5" s="3556" t="s">
        <v>25</v>
      </c>
      <c r="HW5" s="3556" t="s">
        <v>26</v>
      </c>
      <c r="HX5" s="3556" t="s">
        <v>27</v>
      </c>
      <c r="HY5" s="35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6" t="s">
        <v>1518</v>
      </c>
      <c r="LH5" s="3556" t="s">
        <v>2321</v>
      </c>
      <c r="LI5" s="3556" t="s">
        <v>2322</v>
      </c>
      <c r="LJ5" s="3556" t="s">
        <v>364</v>
      </c>
      <c r="LK5" s="3556" t="s">
        <v>365</v>
      </c>
      <c r="LL5" s="3556" t="s">
        <v>366</v>
      </c>
      <c r="LM5" s="3556" t="s">
        <v>367</v>
      </c>
      <c r="LN5" s="3556" t="s">
        <v>368</v>
      </c>
      <c r="LO5" s="3556" t="s">
        <v>369</v>
      </c>
      <c r="LP5" s="3556" t="s">
        <v>370</v>
      </c>
      <c r="LQ5" s="3556" t="s">
        <v>195</v>
      </c>
      <c r="LR5" s="3556" t="s">
        <v>196</v>
      </c>
      <c r="LS5" s="3556" t="s">
        <v>197</v>
      </c>
      <c r="LT5" s="3556" t="s">
        <v>198</v>
      </c>
      <c r="LU5" s="3556" t="s">
        <v>199</v>
      </c>
      <c r="LV5" s="3556" t="s">
        <v>200</v>
      </c>
      <c r="LW5" s="3556" t="s">
        <v>201</v>
      </c>
      <c r="LX5" s="3556" t="s">
        <v>202</v>
      </c>
      <c r="LY5" s="3556" t="s">
        <v>203</v>
      </c>
      <c r="LZ5" s="3556" t="s">
        <v>204</v>
      </c>
      <c r="MA5" s="3556" t="s">
        <v>205</v>
      </c>
      <c r="MB5" s="3556" t="s">
        <v>206</v>
      </c>
      <c r="MC5" s="3556" t="s">
        <v>207</v>
      </c>
      <c r="MD5" s="3556" t="s">
        <v>208</v>
      </c>
      <c r="ME5" s="3556" t="s">
        <v>209</v>
      </c>
      <c r="MF5" s="3556"/>
      <c r="MG5" s="3556"/>
      <c r="MH5" s="3556"/>
      <c r="MI5" s="3556"/>
      <c r="MJ5" s="35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4" t="str">
        <f>IF(A49&gt;0,"Finish Row!","")</f>
        <v/>
      </c>
      <c r="B6" s="141" t="s">
        <v>6094</v>
      </c>
      <c r="D6" s="1515"/>
      <c r="E6" s="1515"/>
      <c r="F6" s="1515"/>
      <c r="G6" s="1211" t="s">
        <v>194</v>
      </c>
      <c r="H6" s="3665" t="s">
        <v>6096</v>
      </c>
      <c r="I6" s="3666"/>
      <c r="J6" s="3666"/>
      <c r="K6" s="686" t="s">
        <v>3135</v>
      </c>
      <c r="L6" s="3558" t="str">
        <f>'Part I-Project Identification'!$A$6</f>
        <v>April 2023</v>
      </c>
      <c r="M6" s="3558"/>
      <c r="N6" s="3558"/>
      <c r="O6" s="1717" t="s">
        <v>6076</v>
      </c>
      <c r="P6" s="1505">
        <v>55800</v>
      </c>
      <c r="Q6" s="3624"/>
      <c r="R6" s="830"/>
      <c r="S6" s="72"/>
      <c r="U6" s="72"/>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6"/>
      <c r="ET6" s="3556"/>
      <c r="EU6" s="3556"/>
      <c r="EV6" s="3556"/>
      <c r="EW6" s="3556"/>
      <c r="EX6" s="3556"/>
      <c r="EY6" s="3556"/>
      <c r="EZ6" s="3556"/>
      <c r="FA6" s="3556"/>
      <c r="FB6" s="3556"/>
      <c r="FC6" s="3556"/>
      <c r="FD6" s="3556"/>
      <c r="FE6" s="3556"/>
      <c r="FF6" s="3556"/>
      <c r="FG6" s="3556"/>
      <c r="FH6" s="3556"/>
      <c r="FI6" s="3556"/>
      <c r="FJ6" s="3556"/>
      <c r="FK6" s="3556"/>
      <c r="FL6" s="3556"/>
      <c r="FM6" s="3556"/>
      <c r="FN6" s="3556"/>
      <c r="FO6" s="3556"/>
      <c r="FP6" s="3556"/>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35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56"/>
      <c r="MK6" s="3596" t="s">
        <v>3040</v>
      </c>
      <c r="ML6" s="3596" t="s">
        <v>3041</v>
      </c>
      <c r="MM6" s="3596" t="s">
        <v>3042</v>
      </c>
      <c r="MN6" s="3596" t="s">
        <v>3043</v>
      </c>
      <c r="MO6" s="3596" t="s">
        <v>3044</v>
      </c>
      <c r="MP6" s="3556" t="s">
        <v>6280</v>
      </c>
      <c r="MQ6" s="3556" t="s">
        <v>6281</v>
      </c>
      <c r="MR6" s="3556" t="s">
        <v>6282</v>
      </c>
      <c r="MS6" s="3556" t="s">
        <v>6283</v>
      </c>
      <c r="MT6" s="3556"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4"/>
      <c r="B7" s="23" t="s">
        <v>6095</v>
      </c>
      <c r="E7" s="4"/>
      <c r="G7" s="1246" t="s">
        <v>2652</v>
      </c>
      <c r="I7" s="3589" t="s">
        <v>4070</v>
      </c>
      <c r="J7" s="686" t="s">
        <v>742</v>
      </c>
      <c r="K7" s="686" t="s">
        <v>3182</v>
      </c>
      <c r="L7" s="3558"/>
      <c r="M7" s="3558"/>
      <c r="N7" s="3558"/>
      <c r="O7" s="1718" t="s">
        <v>6075</v>
      </c>
      <c r="P7" s="1543">
        <v>44669</v>
      </c>
      <c r="Q7" s="3624"/>
      <c r="R7" s="3593" t="s">
        <v>2457</v>
      </c>
      <c r="S7" s="3593"/>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6"/>
      <c r="ET7" s="3556"/>
      <c r="EU7" s="3556"/>
      <c r="EV7" s="3556"/>
      <c r="EW7" s="3556"/>
      <c r="EX7" s="3556"/>
      <c r="EY7" s="3556"/>
      <c r="EZ7" s="3556"/>
      <c r="FA7" s="3556"/>
      <c r="FB7" s="3556"/>
      <c r="FC7" s="3556"/>
      <c r="FD7" s="3556"/>
      <c r="FE7" s="3556"/>
      <c r="FF7" s="3556"/>
      <c r="FG7" s="3556"/>
      <c r="FH7" s="3556"/>
      <c r="FI7" s="3556"/>
      <c r="FJ7" s="3556"/>
      <c r="FK7" s="3556"/>
      <c r="FL7" s="3556"/>
      <c r="FM7" s="3556"/>
      <c r="FN7" s="3556"/>
      <c r="FO7" s="3556"/>
      <c r="FP7" s="3556"/>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35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56"/>
      <c r="MK7" s="3596"/>
      <c r="ML7" s="3596"/>
      <c r="MM7" s="3596"/>
      <c r="MN7" s="3596"/>
      <c r="MO7" s="3596"/>
      <c r="MP7" s="3556"/>
      <c r="MQ7" s="3556"/>
      <c r="MR7" s="3556"/>
      <c r="MS7" s="3556"/>
      <c r="MT7" s="35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4"/>
      <c r="B8" s="831" t="s">
        <v>3763</v>
      </c>
      <c r="C8" s="1"/>
      <c r="E8" s="1"/>
      <c r="F8" s="1"/>
      <c r="I8" s="3589"/>
      <c r="J8" s="686" t="s">
        <v>743</v>
      </c>
      <c r="K8" s="686" t="s">
        <v>3183</v>
      </c>
      <c r="L8" s="667"/>
      <c r="M8" s="667"/>
      <c r="N8" s="1716" t="s">
        <v>6479</v>
      </c>
      <c r="O8" s="3591" t="s">
        <v>7110</v>
      </c>
      <c r="P8" s="3592"/>
      <c r="Q8" s="3624"/>
      <c r="R8" s="668"/>
      <c r="S8" s="670" t="s">
        <v>2454</v>
      </c>
      <c r="T8" s="337"/>
      <c r="W8" s="33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6"/>
      <c r="ET8" s="3556"/>
      <c r="EU8" s="3556"/>
      <c r="EV8" s="3556"/>
      <c r="EW8" s="3556"/>
      <c r="EX8" s="3556"/>
      <c r="EY8" s="3556"/>
      <c r="EZ8" s="3556"/>
      <c r="FA8" s="3556"/>
      <c r="FB8" s="3556"/>
      <c r="FC8" s="3556"/>
      <c r="FD8" s="3556"/>
      <c r="FE8" s="3556"/>
      <c r="FF8" s="3556"/>
      <c r="FG8" s="3556"/>
      <c r="FH8" s="3556"/>
      <c r="FI8" s="3556"/>
      <c r="FJ8" s="3556"/>
      <c r="FK8" s="3556"/>
      <c r="FL8" s="3556"/>
      <c r="FM8" s="3556"/>
      <c r="FN8" s="3556"/>
      <c r="FO8" s="3556"/>
      <c r="FP8" s="3556"/>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56"/>
      <c r="MK8" s="3596"/>
      <c r="ML8" s="3596"/>
      <c r="MM8" s="3596"/>
      <c r="MN8" s="3596"/>
      <c r="MO8" s="3596"/>
      <c r="MP8" s="3556"/>
      <c r="MQ8" s="3556"/>
      <c r="MR8" s="3556"/>
      <c r="MS8" s="3556"/>
      <c r="MT8" s="35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4"/>
      <c r="B9" s="1109" t="s">
        <v>3764</v>
      </c>
      <c r="C9" s="686" t="s">
        <v>165</v>
      </c>
      <c r="D9" s="686" t="s">
        <v>510</v>
      </c>
      <c r="E9" s="686" t="s">
        <v>1382</v>
      </c>
      <c r="F9" s="686" t="s">
        <v>1382</v>
      </c>
      <c r="G9" s="3589" t="s">
        <v>6091</v>
      </c>
      <c r="H9" s="830" t="s">
        <v>3301</v>
      </c>
      <c r="I9" s="3589"/>
      <c r="J9" s="3585" t="s">
        <v>6085</v>
      </c>
      <c r="K9" s="686" t="s">
        <v>2217</v>
      </c>
      <c r="L9" s="3594" t="s">
        <v>139</v>
      </c>
      <c r="M9" s="3595"/>
      <c r="N9" s="686" t="s">
        <v>2184</v>
      </c>
      <c r="O9" s="686" t="s">
        <v>6482</v>
      </c>
      <c r="P9" s="3587" t="s">
        <v>6244</v>
      </c>
      <c r="Q9" s="3624"/>
      <c r="R9" s="686" t="s">
        <v>2453</v>
      </c>
      <c r="S9" s="686" t="s">
        <v>2455</v>
      </c>
      <c r="T9" s="339"/>
      <c r="W9" s="340"/>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6"/>
      <c r="ET9" s="3556"/>
      <c r="EU9" s="3556"/>
      <c r="EV9" s="3556"/>
      <c r="EW9" s="3556"/>
      <c r="EX9" s="3556"/>
      <c r="EY9" s="3556"/>
      <c r="EZ9" s="3556"/>
      <c r="FA9" s="3556"/>
      <c r="FB9" s="3556"/>
      <c r="FC9" s="3556"/>
      <c r="FD9" s="3556"/>
      <c r="FE9" s="3556"/>
      <c r="FF9" s="3556"/>
      <c r="FG9" s="3556"/>
      <c r="FH9" s="3556"/>
      <c r="FI9" s="3556"/>
      <c r="FJ9" s="3556"/>
      <c r="FK9" s="3556"/>
      <c r="FL9" s="3556"/>
      <c r="FM9" s="3556"/>
      <c r="FN9" s="3556"/>
      <c r="FO9" s="3556"/>
      <c r="FP9" s="3556"/>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3556" t="s">
        <v>1371</v>
      </c>
      <c r="IA9" s="1884" t="s">
        <v>2245</v>
      </c>
      <c r="IB9" s="1884" t="s">
        <v>2246</v>
      </c>
      <c r="IC9" s="1884" t="s">
        <v>2247</v>
      </c>
      <c r="ID9" s="1884" t="s">
        <v>2248</v>
      </c>
      <c r="IE9" s="3556" t="s">
        <v>2299</v>
      </c>
      <c r="IF9" s="3556" t="s">
        <v>2299</v>
      </c>
      <c r="IG9" s="3556" t="s">
        <v>2299</v>
      </c>
      <c r="IH9" s="3556" t="s">
        <v>2299</v>
      </c>
      <c r="II9" s="3556" t="s">
        <v>2299</v>
      </c>
      <c r="IJ9" s="3556" t="s">
        <v>3000</v>
      </c>
      <c r="IK9" s="3556" t="s">
        <v>3000</v>
      </c>
      <c r="IL9" s="3556" t="s">
        <v>3000</v>
      </c>
      <c r="IM9" s="3556" t="s">
        <v>3000</v>
      </c>
      <c r="IN9" s="3556" t="s">
        <v>3000</v>
      </c>
      <c r="IO9" s="1884" t="s">
        <v>526</v>
      </c>
      <c r="IP9" s="1884" t="s">
        <v>2245</v>
      </c>
      <c r="IQ9" s="1884" t="s">
        <v>2246</v>
      </c>
      <c r="IR9" s="1884" t="s">
        <v>2247</v>
      </c>
      <c r="IS9" s="1884" t="s">
        <v>2248</v>
      </c>
      <c r="IT9" s="1884" t="s">
        <v>526</v>
      </c>
      <c r="IU9" s="1884" t="s">
        <v>2245</v>
      </c>
      <c r="IV9" s="1884" t="s">
        <v>2246</v>
      </c>
      <c r="IW9" s="1884" t="s">
        <v>2247</v>
      </c>
      <c r="IX9" s="1884" t="s">
        <v>2248</v>
      </c>
      <c r="IY9" s="3556" t="s">
        <v>6285</v>
      </c>
      <c r="IZ9" s="3556" t="s">
        <v>6285</v>
      </c>
      <c r="JA9" s="3556" t="s">
        <v>6285</v>
      </c>
      <c r="JB9" s="3556" t="s">
        <v>6285</v>
      </c>
      <c r="JC9" s="3556" t="s">
        <v>6285</v>
      </c>
      <c r="JD9" s="3556" t="s">
        <v>6286</v>
      </c>
      <c r="JE9" s="3556" t="s">
        <v>6286</v>
      </c>
      <c r="JF9" s="3556" t="s">
        <v>6286</v>
      </c>
      <c r="JG9" s="3556" t="s">
        <v>6286</v>
      </c>
      <c r="JH9" s="3556" t="s">
        <v>6286</v>
      </c>
      <c r="JI9" s="3556" t="s">
        <v>6288</v>
      </c>
      <c r="JJ9" s="3556" t="s">
        <v>6288</v>
      </c>
      <c r="JK9" s="3556" t="s">
        <v>6288</v>
      </c>
      <c r="JL9" s="3556" t="s">
        <v>6288</v>
      </c>
      <c r="JM9" s="3556" t="s">
        <v>6288</v>
      </c>
      <c r="JN9" s="3556" t="s">
        <v>6289</v>
      </c>
      <c r="JO9" s="3556" t="s">
        <v>6289</v>
      </c>
      <c r="JP9" s="3556" t="s">
        <v>6289</v>
      </c>
      <c r="JQ9" s="3556" t="s">
        <v>6289</v>
      </c>
      <c r="JR9" s="3556" t="s">
        <v>6289</v>
      </c>
      <c r="JS9" s="3556" t="s">
        <v>6290</v>
      </c>
      <c r="JT9" s="3556" t="s">
        <v>6290</v>
      </c>
      <c r="JU9" s="3556" t="s">
        <v>6290</v>
      </c>
      <c r="JV9" s="3556" t="s">
        <v>6290</v>
      </c>
      <c r="JW9" s="3556" t="s">
        <v>6290</v>
      </c>
      <c r="JX9" s="3556" t="s">
        <v>6483</v>
      </c>
      <c r="JY9" s="3556" t="s">
        <v>6483</v>
      </c>
      <c r="JZ9" s="3556" t="s">
        <v>6483</v>
      </c>
      <c r="KA9" s="3556" t="s">
        <v>6483</v>
      </c>
      <c r="KB9" s="3556" t="s">
        <v>6483</v>
      </c>
      <c r="KC9" s="3556" t="s">
        <v>6648</v>
      </c>
      <c r="KD9" s="3556" t="s">
        <v>6648</v>
      </c>
      <c r="KE9" s="3556" t="s">
        <v>6648</v>
      </c>
      <c r="KF9" s="3556" t="s">
        <v>6648</v>
      </c>
      <c r="KG9" s="3556" t="s">
        <v>6648</v>
      </c>
      <c r="KH9" s="3556" t="s">
        <v>6649</v>
      </c>
      <c r="KI9" s="3556" t="s">
        <v>6649</v>
      </c>
      <c r="KJ9" s="3556" t="s">
        <v>6649</v>
      </c>
      <c r="KK9" s="3556" t="s">
        <v>6649</v>
      </c>
      <c r="KL9" s="3556" t="s">
        <v>6649</v>
      </c>
      <c r="KM9" s="3556" t="s">
        <v>6292</v>
      </c>
      <c r="KN9" s="3556" t="s">
        <v>6292</v>
      </c>
      <c r="KO9" s="3556" t="s">
        <v>6292</v>
      </c>
      <c r="KP9" s="3556" t="s">
        <v>6292</v>
      </c>
      <c r="KQ9" s="3556" t="s">
        <v>6292</v>
      </c>
      <c r="KR9" s="3556" t="s">
        <v>6484</v>
      </c>
      <c r="KS9" s="3556" t="s">
        <v>6484</v>
      </c>
      <c r="KT9" s="3556" t="s">
        <v>6484</v>
      </c>
      <c r="KU9" s="3556" t="s">
        <v>6484</v>
      </c>
      <c r="KV9" s="3556" t="s">
        <v>6484</v>
      </c>
      <c r="KW9" s="3556" t="s">
        <v>6650</v>
      </c>
      <c r="KX9" s="3556" t="s">
        <v>6650</v>
      </c>
      <c r="KY9" s="3556" t="s">
        <v>6650</v>
      </c>
      <c r="KZ9" s="3556" t="s">
        <v>6650</v>
      </c>
      <c r="LA9" s="3556" t="s">
        <v>6650</v>
      </c>
      <c r="LB9" s="3556" t="s">
        <v>6651</v>
      </c>
      <c r="LC9" s="3556" t="s">
        <v>6651</v>
      </c>
      <c r="LD9" s="3556" t="s">
        <v>6651</v>
      </c>
      <c r="LE9" s="3556" t="s">
        <v>6651</v>
      </c>
      <c r="LF9" s="3556" t="s">
        <v>6651</v>
      </c>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56"/>
      <c r="MK9" s="3596"/>
      <c r="ML9" s="3596"/>
      <c r="MM9" s="3596"/>
      <c r="MN9" s="3596"/>
      <c r="MO9" s="3596"/>
      <c r="MP9" s="3556"/>
      <c r="MQ9" s="3556"/>
      <c r="MR9" s="3556"/>
      <c r="MS9" s="3556"/>
      <c r="MT9" s="35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4"/>
      <c r="B10" s="1264" t="s">
        <v>3931</v>
      </c>
      <c r="C10" s="686" t="s">
        <v>164</v>
      </c>
      <c r="D10" s="686" t="s">
        <v>166</v>
      </c>
      <c r="E10" s="686" t="s">
        <v>1383</v>
      </c>
      <c r="F10" s="686" t="s">
        <v>1203</v>
      </c>
      <c r="G10" s="3590"/>
      <c r="H10" s="686" t="s">
        <v>6092</v>
      </c>
      <c r="I10" s="3590"/>
      <c r="J10" s="3586"/>
      <c r="K10" s="358" t="s">
        <v>334</v>
      </c>
      <c r="L10" s="686" t="s">
        <v>1432</v>
      </c>
      <c r="M10" s="686" t="s">
        <v>504</v>
      </c>
      <c r="N10" s="686" t="s">
        <v>1382</v>
      </c>
      <c r="O10" s="686" t="s">
        <v>6496</v>
      </c>
      <c r="P10" s="3588"/>
      <c r="Q10" s="3625"/>
      <c r="R10" s="686" t="s">
        <v>1384</v>
      </c>
      <c r="S10" s="686" t="s">
        <v>2456</v>
      </c>
      <c r="T10" s="10" t="s">
        <v>1711</v>
      </c>
      <c r="W10" s="10"/>
      <c r="X10" s="3556"/>
      <c r="Y10" s="3556"/>
      <c r="Z10" s="3556"/>
      <c r="AA10" s="3556"/>
      <c r="AB10" s="3556"/>
      <c r="AC10" s="3556"/>
      <c r="AD10" s="3556"/>
      <c r="AE10" s="3556"/>
      <c r="AF10" s="3556"/>
      <c r="AG10" s="3556"/>
      <c r="AH10" s="3556"/>
      <c r="AI10" s="3556"/>
      <c r="AJ10" s="3556"/>
      <c r="AK10" s="3556"/>
      <c r="AL10" s="3556"/>
      <c r="AM10" s="3556"/>
      <c r="AN10" s="3556"/>
      <c r="AO10" s="3556"/>
      <c r="AP10" s="3556"/>
      <c r="AQ10" s="3556"/>
      <c r="AR10" s="3556"/>
      <c r="AS10" s="3556"/>
      <c r="AT10" s="3556"/>
      <c r="AU10" s="3556"/>
      <c r="AV10" s="3556"/>
      <c r="AW10" s="3556"/>
      <c r="AX10" s="3556"/>
      <c r="AY10" s="3556"/>
      <c r="AZ10" s="3556"/>
      <c r="BA10" s="3556"/>
      <c r="BB10" s="3556"/>
      <c r="BC10" s="3556"/>
      <c r="BD10" s="3556"/>
      <c r="BE10" s="3556"/>
      <c r="BF10" s="3556"/>
      <c r="BG10" s="3556"/>
      <c r="BH10" s="3556"/>
      <c r="BI10" s="3556"/>
      <c r="BJ10" s="3556"/>
      <c r="BK10" s="3556"/>
      <c r="BL10" s="3556"/>
      <c r="BM10" s="3556"/>
      <c r="BN10" s="3556"/>
      <c r="BO10" s="3556"/>
      <c r="BP10" s="3556"/>
      <c r="BQ10" s="3556"/>
      <c r="BR10" s="3556"/>
      <c r="BS10" s="3556"/>
      <c r="BT10" s="3556"/>
      <c r="BU10" s="3556"/>
      <c r="BV10" s="3556"/>
      <c r="BW10" s="3556"/>
      <c r="BX10" s="3556"/>
      <c r="BY10" s="3556"/>
      <c r="BZ10" s="3556"/>
      <c r="CA10" s="3556"/>
      <c r="CB10" s="3556"/>
      <c r="CC10" s="3556"/>
      <c r="CD10" s="3556"/>
      <c r="CE10" s="3556"/>
      <c r="CF10" s="3556"/>
      <c r="CG10" s="3556"/>
      <c r="CH10" s="3556"/>
      <c r="CI10" s="3556"/>
      <c r="CJ10" s="3556"/>
      <c r="CK10" s="3556"/>
      <c r="CL10" s="3556"/>
      <c r="CM10" s="3556"/>
      <c r="CN10" s="3556"/>
      <c r="CO10" s="3556"/>
      <c r="CP10" s="3556"/>
      <c r="CQ10" s="3556"/>
      <c r="CR10" s="3556"/>
      <c r="CS10" s="3556"/>
      <c r="CT10" s="3556"/>
      <c r="CU10" s="3556"/>
      <c r="CV10" s="3556"/>
      <c r="CW10" s="3556"/>
      <c r="CX10" s="3556"/>
      <c r="CY10" s="3556"/>
      <c r="CZ10" s="3556"/>
      <c r="DA10" s="3556"/>
      <c r="DB10" s="3556"/>
      <c r="DC10" s="3556"/>
      <c r="DD10" s="3556"/>
      <c r="DE10" s="3556"/>
      <c r="DF10" s="3556"/>
      <c r="DG10" s="3556"/>
      <c r="DH10" s="3556"/>
      <c r="DI10" s="3556"/>
      <c r="DJ10" s="3556"/>
      <c r="DK10" s="3556"/>
      <c r="DL10" s="3556"/>
      <c r="DM10" s="3556"/>
      <c r="DN10" s="3556"/>
      <c r="DO10" s="3556"/>
      <c r="DP10" s="3556"/>
      <c r="DQ10" s="3556"/>
      <c r="DR10" s="3556"/>
      <c r="DS10" s="3556"/>
      <c r="DT10" s="3556"/>
      <c r="DU10" s="3556"/>
      <c r="DV10" s="3556"/>
      <c r="DW10" s="3556"/>
      <c r="DX10" s="3556"/>
      <c r="DY10" s="3556"/>
      <c r="DZ10" s="3556"/>
      <c r="EA10" s="3556"/>
      <c r="EB10" s="3556"/>
      <c r="EC10" s="3556"/>
      <c r="ED10" s="3556"/>
      <c r="EE10" s="3556"/>
      <c r="EF10" s="3556"/>
      <c r="EG10" s="3556"/>
      <c r="EH10" s="3556"/>
      <c r="EI10" s="3556"/>
      <c r="EJ10" s="3556"/>
      <c r="EK10" s="3556"/>
      <c r="EL10" s="3556"/>
      <c r="EM10" s="3556"/>
      <c r="EN10" s="3556"/>
      <c r="EO10" s="3556"/>
      <c r="EP10" s="3556"/>
      <c r="EQ10" s="3556"/>
      <c r="ER10" s="3556"/>
      <c r="ES10" s="3556"/>
      <c r="ET10" s="3556"/>
      <c r="EU10" s="3556"/>
      <c r="EV10" s="3556"/>
      <c r="EW10" s="3556"/>
      <c r="EX10" s="3556"/>
      <c r="EY10" s="3556"/>
      <c r="EZ10" s="3556"/>
      <c r="FA10" s="3556"/>
      <c r="FB10" s="3556"/>
      <c r="FC10" s="3556"/>
      <c r="FD10" s="3556"/>
      <c r="FE10" s="3556"/>
      <c r="FF10" s="3556"/>
      <c r="FG10" s="3556"/>
      <c r="FH10" s="3556"/>
      <c r="FI10" s="3556"/>
      <c r="FJ10" s="3556"/>
      <c r="FK10" s="3556"/>
      <c r="FL10" s="3556"/>
      <c r="FM10" s="3556"/>
      <c r="FN10" s="3556"/>
      <c r="FO10" s="3556"/>
      <c r="FP10" s="3556"/>
      <c r="FQ10" s="3556"/>
      <c r="FR10" s="3556"/>
      <c r="FS10" s="3556"/>
      <c r="FT10" s="3556"/>
      <c r="FU10" s="3556"/>
      <c r="FV10" s="3556"/>
      <c r="FW10" s="3556"/>
      <c r="FX10" s="3556"/>
      <c r="FY10" s="3556"/>
      <c r="FZ10" s="3556"/>
      <c r="GA10" s="3556"/>
      <c r="GB10" s="3556"/>
      <c r="GC10" s="3556"/>
      <c r="GD10" s="3556"/>
      <c r="GE10" s="3556"/>
      <c r="GF10" s="3556"/>
      <c r="GG10" s="3556"/>
      <c r="GH10" s="3556"/>
      <c r="GI10" s="3556"/>
      <c r="GJ10" s="3556"/>
      <c r="GK10" s="3556"/>
      <c r="GL10" s="3556"/>
      <c r="GM10" s="3556"/>
      <c r="GN10" s="3556"/>
      <c r="GO10" s="3556"/>
      <c r="GP10" s="3556"/>
      <c r="GQ10" s="3556"/>
      <c r="GR10" s="3556"/>
      <c r="GS10" s="3556"/>
      <c r="GT10" s="3556"/>
      <c r="GU10" s="3556"/>
      <c r="GV10" s="3556"/>
      <c r="GW10" s="3556"/>
      <c r="GX10" s="3556"/>
      <c r="GY10" s="3556"/>
      <c r="GZ10" s="3556"/>
      <c r="HA10" s="3556"/>
      <c r="HB10" s="3556"/>
      <c r="HC10" s="3556"/>
      <c r="HD10" s="3556"/>
      <c r="HE10" s="3556"/>
      <c r="HF10" s="3556"/>
      <c r="HG10" s="3556"/>
      <c r="HH10" s="3556"/>
      <c r="HI10" s="3556"/>
      <c r="HJ10" s="3556"/>
      <c r="HK10" s="3556"/>
      <c r="HL10" s="3556"/>
      <c r="HM10" s="3556"/>
      <c r="HN10" s="3556"/>
      <c r="HO10" s="3556"/>
      <c r="HP10" s="3556"/>
      <c r="HQ10" s="3556"/>
      <c r="HR10" s="3556"/>
      <c r="HS10" s="3556"/>
      <c r="HT10" s="3556"/>
      <c r="HU10" s="3556"/>
      <c r="HV10" s="3556"/>
      <c r="HW10" s="3556"/>
      <c r="HX10" s="3556"/>
      <c r="HY10" s="3556"/>
      <c r="HZ10" s="3556"/>
      <c r="IA10" s="1884" t="s">
        <v>2298</v>
      </c>
      <c r="IB10" s="1884" t="s">
        <v>2298</v>
      </c>
      <c r="IC10" s="1884" t="s">
        <v>2298</v>
      </c>
      <c r="ID10" s="1884" t="s">
        <v>2298</v>
      </c>
      <c r="IE10" s="3556"/>
      <c r="IF10" s="3556"/>
      <c r="IG10" s="3556"/>
      <c r="IH10" s="3556"/>
      <c r="II10" s="3556"/>
      <c r="IJ10" s="3556"/>
      <c r="IK10" s="3556"/>
      <c r="IL10" s="3556"/>
      <c r="IM10" s="3556"/>
      <c r="IN10" s="3556"/>
      <c r="IO10" s="1884" t="s">
        <v>2300</v>
      </c>
      <c r="IP10" s="1884" t="s">
        <v>2300</v>
      </c>
      <c r="IQ10" s="1884" t="s">
        <v>2300</v>
      </c>
      <c r="IR10" s="1884" t="s">
        <v>2300</v>
      </c>
      <c r="IS10" s="1884" t="s">
        <v>2300</v>
      </c>
      <c r="IT10" s="1884" t="s">
        <v>3001</v>
      </c>
      <c r="IU10" s="1884" t="s">
        <v>3001</v>
      </c>
      <c r="IV10" s="1884" t="s">
        <v>3001</v>
      </c>
      <c r="IW10" s="1884" t="s">
        <v>3001</v>
      </c>
      <c r="IX10" s="1884" t="s">
        <v>3001</v>
      </c>
      <c r="IY10" s="3556"/>
      <c r="IZ10" s="3556"/>
      <c r="JA10" s="3556"/>
      <c r="JB10" s="3556"/>
      <c r="JC10" s="3556"/>
      <c r="JD10" s="3556"/>
      <c r="JE10" s="3556"/>
      <c r="JF10" s="3556"/>
      <c r="JG10" s="3556"/>
      <c r="JH10" s="3556"/>
      <c r="JI10" s="3556"/>
      <c r="JJ10" s="3556"/>
      <c r="JK10" s="3556"/>
      <c r="JL10" s="3556"/>
      <c r="JM10" s="3556"/>
      <c r="JN10" s="3556"/>
      <c r="JO10" s="3556"/>
      <c r="JP10" s="3556"/>
      <c r="JQ10" s="3556"/>
      <c r="JR10" s="3556"/>
      <c r="JS10" s="3556"/>
      <c r="JT10" s="3556"/>
      <c r="JU10" s="3556"/>
      <c r="JV10" s="3556"/>
      <c r="JW10" s="3556"/>
      <c r="JX10" s="3556"/>
      <c r="JY10" s="3556"/>
      <c r="JZ10" s="3556"/>
      <c r="KA10" s="3556"/>
      <c r="KB10" s="3556"/>
      <c r="KC10" s="3556"/>
      <c r="KD10" s="3556"/>
      <c r="KE10" s="3556"/>
      <c r="KF10" s="3556"/>
      <c r="KG10" s="3556"/>
      <c r="KH10" s="3556"/>
      <c r="KI10" s="3556"/>
      <c r="KJ10" s="3556"/>
      <c r="KK10" s="3556"/>
      <c r="KL10" s="3556"/>
      <c r="KM10" s="3556"/>
      <c r="KN10" s="3556"/>
      <c r="KO10" s="3556"/>
      <c r="KP10" s="3556"/>
      <c r="KQ10" s="3556"/>
      <c r="KR10" s="3556"/>
      <c r="KS10" s="3556"/>
      <c r="KT10" s="3556"/>
      <c r="KU10" s="3556"/>
      <c r="KV10" s="3556"/>
      <c r="KW10" s="3556"/>
      <c r="KX10" s="3556"/>
      <c r="KY10" s="3556"/>
      <c r="KZ10" s="3556"/>
      <c r="LA10" s="3556"/>
      <c r="LB10" s="3556"/>
      <c r="LC10" s="3556"/>
      <c r="LD10" s="3556"/>
      <c r="LE10" s="3556"/>
      <c r="LF10" s="3556"/>
      <c r="LG10" s="3556"/>
      <c r="LH10" s="3556"/>
      <c r="LI10" s="3556"/>
      <c r="LJ10" s="3556"/>
      <c r="LK10" s="3556"/>
      <c r="LL10" s="3556"/>
      <c r="LM10" s="3556"/>
      <c r="LN10" s="3556"/>
      <c r="LO10" s="3556"/>
      <c r="LP10" s="3556"/>
      <c r="LQ10" s="3556"/>
      <c r="LR10" s="3556"/>
      <c r="LS10" s="3556"/>
      <c r="LT10" s="3556"/>
      <c r="LU10" s="3556"/>
      <c r="LV10" s="3556"/>
      <c r="LW10" s="3556"/>
      <c r="LX10" s="3556"/>
      <c r="LY10" s="3556"/>
      <c r="LZ10" s="3556"/>
      <c r="MA10" s="3556"/>
      <c r="MB10" s="3556"/>
      <c r="MC10" s="3556"/>
      <c r="MD10" s="3556"/>
      <c r="ME10" s="3556"/>
      <c r="MF10" s="3556"/>
      <c r="MG10" s="3556"/>
      <c r="MH10" s="3556"/>
      <c r="MI10" s="3556"/>
      <c r="MJ10" s="3556"/>
      <c r="MK10" s="3596"/>
      <c r="ML10" s="3596"/>
      <c r="MM10" s="3596"/>
      <c r="MN10" s="3596"/>
      <c r="MO10" s="3596"/>
      <c r="MP10" s="3556"/>
      <c r="MQ10" s="3556"/>
      <c r="MR10" s="3556"/>
      <c r="MS10" s="3556"/>
      <c r="MT10" s="35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8"/>
      <c r="U11" s="3659"/>
      <c r="V11" s="3659"/>
      <c r="W11" s="366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2</v>
      </c>
      <c r="F18" s="1084">
        <v>800</v>
      </c>
      <c r="G18" s="1084">
        <v>668</v>
      </c>
      <c r="H18" s="1084">
        <v>584</v>
      </c>
      <c r="I18" s="1084">
        <v>0</v>
      </c>
      <c r="J18" s="1100">
        <f>IF(C18="",0,HLOOKUP(C18,'Part IV-Utility Allowances'!$I$11:$M$22,12))</f>
        <v>99</v>
      </c>
      <c r="K18" s="1101"/>
      <c r="L18" s="1102">
        <f t="shared" si="1"/>
        <v>485</v>
      </c>
      <c r="M18" s="1102">
        <f t="shared" si="2"/>
        <v>970</v>
      </c>
      <c r="N18" s="1103" t="s">
        <v>2652</v>
      </c>
      <c r="O18" s="1685" t="s">
        <v>6291</v>
      </c>
      <c r="P18" s="1103" t="s">
        <v>2120</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1600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9</v>
      </c>
      <c r="F19" s="133">
        <v>964</v>
      </c>
      <c r="G19" s="133">
        <v>802</v>
      </c>
      <c r="H19" s="133">
        <v>677</v>
      </c>
      <c r="I19" s="133">
        <v>0</v>
      </c>
      <c r="J19" s="756">
        <f>IF(C19="",0,HLOOKUP(C19,'Part IV-Utility Allowances'!$I$11:$M$22,12))</f>
        <v>127</v>
      </c>
      <c r="K19" s="644"/>
      <c r="L19" s="461">
        <f t="shared" si="1"/>
        <v>550</v>
      </c>
      <c r="M19" s="461">
        <f t="shared" si="2"/>
        <v>4950</v>
      </c>
      <c r="N19" s="695" t="s">
        <v>2652</v>
      </c>
      <c r="O19" s="1683" t="s">
        <v>6291</v>
      </c>
      <c r="P19" s="695" t="s">
        <v>2120</v>
      </c>
      <c r="Q19" s="13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9</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8676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9</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9</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9</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3</v>
      </c>
      <c r="D20" s="1751">
        <v>2</v>
      </c>
      <c r="E20" s="133">
        <v>5</v>
      </c>
      <c r="F20" s="133">
        <v>1157</v>
      </c>
      <c r="G20" s="133">
        <v>926</v>
      </c>
      <c r="H20" s="133">
        <v>751</v>
      </c>
      <c r="I20" s="133">
        <v>0</v>
      </c>
      <c r="J20" s="756">
        <f>IF(C20="",0,HLOOKUP(C20,'Part IV-Utility Allowances'!$I$11:$M$22,12))</f>
        <v>156</v>
      </c>
      <c r="K20" s="644"/>
      <c r="L20" s="461">
        <f t="shared" si="1"/>
        <v>595</v>
      </c>
      <c r="M20" s="461">
        <f t="shared" si="2"/>
        <v>2975</v>
      </c>
      <c r="N20" s="695" t="s">
        <v>2652</v>
      </c>
      <c r="O20" s="1683" t="s">
        <v>6291</v>
      </c>
      <c r="P20" s="695" t="s">
        <v>2120</v>
      </c>
      <c r="Q20" s="13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5</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5785</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5</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5</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5</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5</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1</v>
      </c>
      <c r="D21" s="1751">
        <v>1</v>
      </c>
      <c r="E21" s="133">
        <v>3</v>
      </c>
      <c r="F21" s="133">
        <v>800</v>
      </c>
      <c r="G21" s="133">
        <v>801</v>
      </c>
      <c r="H21" s="133">
        <v>649</v>
      </c>
      <c r="I21" s="133">
        <v>0</v>
      </c>
      <c r="J21" s="756">
        <f>IF(C21="",0,HLOOKUP(C21,'Part IV-Utility Allowances'!$I$11:$M$22,12))</f>
        <v>99</v>
      </c>
      <c r="K21" s="644"/>
      <c r="L21" s="461">
        <f t="shared" si="1"/>
        <v>550</v>
      </c>
      <c r="M21" s="461">
        <f t="shared" si="2"/>
        <v>1650</v>
      </c>
      <c r="N21" s="695" t="s">
        <v>2652</v>
      </c>
      <c r="O21" s="1683" t="s">
        <v>6291</v>
      </c>
      <c r="P21" s="695" t="s">
        <v>2120</v>
      </c>
      <c r="Q21" s="13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2400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3</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11</v>
      </c>
      <c r="F22" s="133">
        <v>964</v>
      </c>
      <c r="G22" s="133">
        <v>963</v>
      </c>
      <c r="H22" s="133">
        <v>737</v>
      </c>
      <c r="I22" s="133">
        <v>0</v>
      </c>
      <c r="J22" s="756">
        <f>IF(C22="",0,HLOOKUP(C22,'Part IV-Utility Allowances'!$I$11:$M$22,12))</f>
        <v>127</v>
      </c>
      <c r="K22" s="644"/>
      <c r="L22" s="461">
        <f t="shared" si="1"/>
        <v>610</v>
      </c>
      <c r="M22" s="461">
        <f t="shared" si="2"/>
        <v>6710</v>
      </c>
      <c r="N22" s="695" t="s">
        <v>2652</v>
      </c>
      <c r="O22" s="1683" t="s">
        <v>6291</v>
      </c>
      <c r="P22" s="695" t="s">
        <v>2120</v>
      </c>
      <c r="Q22" s="134" t="s">
        <v>2652</v>
      </c>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10604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11</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11</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11</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3</v>
      </c>
      <c r="D23" s="1751">
        <v>2</v>
      </c>
      <c r="E23" s="133">
        <v>7</v>
      </c>
      <c r="F23" s="133">
        <v>1157</v>
      </c>
      <c r="G23" s="133">
        <v>1112</v>
      </c>
      <c r="H23" s="133">
        <v>846</v>
      </c>
      <c r="I23" s="133">
        <v>0</v>
      </c>
      <c r="J23" s="756">
        <f>IF(C23="",0,HLOOKUP(C23,'Part IV-Utility Allowances'!$I$11:$M$22,12))</f>
        <v>156</v>
      </c>
      <c r="K23" s="644"/>
      <c r="L23" s="461">
        <f t="shared" si="1"/>
        <v>690</v>
      </c>
      <c r="M23" s="461">
        <f t="shared" si="2"/>
        <v>4830</v>
      </c>
      <c r="N23" s="695" t="s">
        <v>2652</v>
      </c>
      <c r="O23" s="1683" t="s">
        <v>6291</v>
      </c>
      <c r="P23" s="695" t="s">
        <v>2120</v>
      </c>
      <c r="Q23" s="134" t="s">
        <v>2652</v>
      </c>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7</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8099</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7</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7</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7</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7</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70</v>
      </c>
      <c r="C24" s="132">
        <v>1</v>
      </c>
      <c r="D24" s="1751">
        <v>1</v>
      </c>
      <c r="E24" s="133">
        <v>1</v>
      </c>
      <c r="F24" s="133">
        <v>800</v>
      </c>
      <c r="G24" s="133">
        <v>935</v>
      </c>
      <c r="H24" s="133">
        <v>724</v>
      </c>
      <c r="I24" s="133">
        <v>0</v>
      </c>
      <c r="J24" s="756">
        <f>IF(C24="",0,HLOOKUP(C24,'Part IV-Utility Allowances'!$I$11:$M$22,12))</f>
        <v>99</v>
      </c>
      <c r="K24" s="644"/>
      <c r="L24" s="461">
        <f t="shared" si="1"/>
        <v>625</v>
      </c>
      <c r="M24" s="461">
        <f t="shared" si="2"/>
        <v>625</v>
      </c>
      <c r="N24" s="695" t="s">
        <v>2652</v>
      </c>
      <c r="O24" s="1683" t="s">
        <v>6291</v>
      </c>
      <c r="P24" s="695" t="s">
        <v>2120</v>
      </c>
      <c r="Q24" s="134" t="s">
        <v>2652</v>
      </c>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f t="shared" si="9"/>
        <v>1</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800</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1</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70</v>
      </c>
      <c r="C25" s="132">
        <v>2</v>
      </c>
      <c r="D25" s="1751">
        <v>2</v>
      </c>
      <c r="E25" s="133">
        <v>4</v>
      </c>
      <c r="F25" s="133">
        <v>964</v>
      </c>
      <c r="G25" s="133">
        <v>1123</v>
      </c>
      <c r="H25" s="133">
        <v>837</v>
      </c>
      <c r="I25" s="133">
        <v>0</v>
      </c>
      <c r="J25" s="756">
        <f>IF(C25="",0,HLOOKUP(C25,'Part IV-Utility Allowances'!$I$11:$M$22,12))</f>
        <v>127</v>
      </c>
      <c r="K25" s="644"/>
      <c r="L25" s="461">
        <f t="shared" si="1"/>
        <v>710</v>
      </c>
      <c r="M25" s="461">
        <f t="shared" si="2"/>
        <v>2840</v>
      </c>
      <c r="N25" s="695" t="s">
        <v>2652</v>
      </c>
      <c r="O25" s="1683" t="s">
        <v>6291</v>
      </c>
      <c r="P25" s="695" t="s">
        <v>2120</v>
      </c>
      <c r="Q25" s="134" t="s">
        <v>2652</v>
      </c>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f t="shared" si="10"/>
        <v>4</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3856</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4</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4</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4</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4</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70</v>
      </c>
      <c r="C26" s="132">
        <v>3</v>
      </c>
      <c r="D26" s="1751">
        <v>2</v>
      </c>
      <c r="E26" s="133">
        <v>2</v>
      </c>
      <c r="F26" s="133">
        <v>1157</v>
      </c>
      <c r="G26" s="133">
        <v>1297</v>
      </c>
      <c r="H26" s="133">
        <v>946</v>
      </c>
      <c r="I26" s="133">
        <v>0</v>
      </c>
      <c r="J26" s="756">
        <f>IF(C26="",0,HLOOKUP(C26,'Part IV-Utility Allowances'!$I$11:$M$22,12))</f>
        <v>156</v>
      </c>
      <c r="K26" s="644"/>
      <c r="L26" s="461">
        <f t="shared" si="1"/>
        <v>790</v>
      </c>
      <c r="M26" s="461">
        <f t="shared" si="2"/>
        <v>1580</v>
      </c>
      <c r="N26" s="695" t="s">
        <v>2652</v>
      </c>
      <c r="O26" s="1683" t="s">
        <v>6291</v>
      </c>
      <c r="P26" s="695" t="s">
        <v>2120</v>
      </c>
      <c r="Q26" s="134" t="s">
        <v>2652</v>
      </c>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2</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2314</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2</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2</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2</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2</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4"/>
      <c r="U48" s="3575"/>
      <c r="V48" s="3575"/>
      <c r="W48" s="357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8" t="s">
        <v>3768</v>
      </c>
      <c r="C49" s="3609"/>
      <c r="D49" s="107" t="s">
        <v>954</v>
      </c>
      <c r="E49" s="1113">
        <f>SUM(E11:E48)</f>
        <v>44</v>
      </c>
      <c r="F49" s="1111">
        <f>(E11*F11+E12*F12+E13*F13+E14*F14+E15*F15+E16*F16+E17*F17+E18*F18+E19*F19+E20*F20+E21*F21+E22*F22+E23*F23+E24*F24+E25*F25+E26*F26+E27*F27+E28*F28+E29*F29+E30*F30+E31*F31+E32*F32+E33*F33+E34*F34+E35*F35+E36*F36+E37*F37+E38*F38+E39*F39+E40*F40+E41*F41+E42*F42+E43*F43+E44*F44+E45*F45+E46*F46+E47*F47+E48*F48)</f>
        <v>44134</v>
      </c>
      <c r="H49" s="3582" t="s">
        <v>3765</v>
      </c>
      <c r="I49" s="1114" t="s">
        <v>3766</v>
      </c>
      <c r="J49" s="1115" t="str">
        <f>IF(P67=0,"",IF(SUM(P58:P62)/P67&gt;=0.4,"Pass","Fail"))</f>
        <v>Pass</v>
      </c>
      <c r="K49" s="448"/>
      <c r="L49" s="699" t="s">
        <v>1225</v>
      </c>
      <c r="M49" s="94">
        <f>SUM(M11:M48)</f>
        <v>27130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v>
      </c>
      <c r="AE49" s="1749">
        <f t="shared" si="339"/>
        <v>4</v>
      </c>
      <c r="AF49" s="1749">
        <f t="shared" si="339"/>
        <v>2</v>
      </c>
      <c r="AG49" s="1749">
        <f t="shared" si="339"/>
        <v>0</v>
      </c>
      <c r="AH49" s="1749">
        <f t="shared" si="339"/>
        <v>0</v>
      </c>
      <c r="AI49" s="1749">
        <f t="shared" si="339"/>
        <v>3</v>
      </c>
      <c r="AJ49" s="1749">
        <f t="shared" si="339"/>
        <v>11</v>
      </c>
      <c r="AK49" s="1749">
        <f t="shared" si="339"/>
        <v>7</v>
      </c>
      <c r="AL49" s="1749">
        <f t="shared" si="339"/>
        <v>0</v>
      </c>
      <c r="AM49" s="1749">
        <f>SUM(AM11:AM48)</f>
        <v>0</v>
      </c>
      <c r="AN49" s="1749">
        <f>SUM(AN11:AN48)</f>
        <v>2</v>
      </c>
      <c r="AO49" s="1749">
        <f>SUM(AO11:AO48)</f>
        <v>9</v>
      </c>
      <c r="AP49" s="1749">
        <f>SUM(AP11:AP48)</f>
        <v>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800</v>
      </c>
      <c r="EP49" s="1749">
        <f t="shared" si="342"/>
        <v>3856</v>
      </c>
      <c r="EQ49" s="1749">
        <f t="shared" si="342"/>
        <v>2314</v>
      </c>
      <c r="ER49" s="1749">
        <f t="shared" si="342"/>
        <v>0</v>
      </c>
      <c r="ES49" s="1749">
        <f t="shared" si="342"/>
        <v>0</v>
      </c>
      <c r="ET49" s="1749">
        <f t="shared" si="342"/>
        <v>2400</v>
      </c>
      <c r="EU49" s="1749">
        <f t="shared" si="342"/>
        <v>10604</v>
      </c>
      <c r="EV49" s="1749">
        <f t="shared" si="342"/>
        <v>8099</v>
      </c>
      <c r="EW49" s="1749">
        <f t="shared" si="342"/>
        <v>0</v>
      </c>
      <c r="EX49" s="1749">
        <f t="shared" si="338"/>
        <v>0</v>
      </c>
      <c r="EY49" s="1749">
        <f t="shared" si="338"/>
        <v>1600</v>
      </c>
      <c r="EZ49" s="1749">
        <f t="shared" si="338"/>
        <v>8676</v>
      </c>
      <c r="FA49" s="1749">
        <f t="shared" si="338"/>
        <v>5785</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v>
      </c>
      <c r="GI49" s="1749">
        <f t="shared" si="343"/>
        <v>24</v>
      </c>
      <c r="GJ49" s="1749">
        <f t="shared" si="343"/>
        <v>14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v>
      </c>
      <c r="IB49" s="1749">
        <f t="shared" si="344"/>
        <v>24</v>
      </c>
      <c r="IC49" s="1749">
        <f t="shared" si="344"/>
        <v>14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6</v>
      </c>
      <c r="JU49" s="1749">
        <f t="shared" si="344"/>
        <v>24</v>
      </c>
      <c r="JV49" s="1749">
        <f t="shared" si="344"/>
        <v>14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v>
      </c>
      <c r="MM49" s="1749">
        <f t="shared" si="346"/>
        <v>24</v>
      </c>
      <c r="MN49" s="1749">
        <f t="shared" si="346"/>
        <v>14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80">
        <f>IF(SUM(E18:E48)=0,"",(B18*E18+B19*E19+B20*E20+B21*E21+B22*E22+B23*E23+B24*E24+B25*E25+B26*E26+B27*E27+B28*E28+B29*E29+B30*E30+B31*E31+B32*E32+B33*E33+B34*E34+B35*E35+B36*E36+B37*E37+B38*E38+B39*E39+B40*E40+B41*E41+B42*E42+B43*E43+B44*E44+B45*E45+B46*E46+B47*E47+B48*E48)/SUM(E18:E48))</f>
        <v>57.954545454545453</v>
      </c>
      <c r="C50" s="3581"/>
      <c r="D50" s="119" t="s">
        <v>3675</v>
      </c>
      <c r="E50" s="1110">
        <f>SUM(E18:E48)</f>
        <v>44</v>
      </c>
      <c r="F50" s="1112">
        <f>(E18*F18+E19*F19+E20*F20+E21*F21+E22*F22+E23*F23+E24*F24+E25*F25+E26*F26+E27*F27+E28*F28+E29*F29+E30*F30+E31*F31+E32*F32+E33*F33+E34*F34+E35*F35+E36*F36+E37*F37+E38*F38+E39*F39+E40*F40+E41*F41+E42*F42+E43*F43+E44*F44+E45*F45+E46*F46+E47*F47+E48*F48)</f>
        <v>44134</v>
      </c>
      <c r="H50" s="3583"/>
      <c r="I50" s="1116" t="s">
        <v>3767</v>
      </c>
      <c r="J50" s="1117" t="str">
        <f>IF(P67=0,"",IF(SUM(P59:P62)/P67&gt;=0.2,"Pass","Fail"))</f>
        <v>Pass</v>
      </c>
      <c r="K50" s="448"/>
      <c r="L50" s="107" t="s">
        <v>757</v>
      </c>
      <c r="M50" s="94">
        <f>M49*12</f>
        <v>325560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9" t="s">
        <v>2408</v>
      </c>
      <c r="B51" s="3578"/>
      <c r="C51" s="3578"/>
      <c r="D51" s="3578"/>
      <c r="E51" s="3578"/>
      <c r="F51" s="3578"/>
      <c r="G51" s="3578"/>
      <c r="H51" s="3578"/>
      <c r="I51" s="3578"/>
      <c r="J51" s="3578"/>
      <c r="K51" s="3578"/>
      <c r="L51" s="3578"/>
      <c r="M51" s="3578"/>
      <c r="N51" s="3578"/>
      <c r="O51" s="3578"/>
      <c r="P51" s="3578"/>
      <c r="Q51" s="35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8"/>
      <c r="B52" s="3578"/>
      <c r="C52" s="3578"/>
      <c r="D52" s="3578"/>
      <c r="E52" s="3578"/>
      <c r="F52" s="3578"/>
      <c r="G52" s="3578"/>
      <c r="H52" s="3578"/>
      <c r="I52" s="3578"/>
      <c r="J52" s="3578"/>
      <c r="K52" s="3578"/>
      <c r="L52" s="3578"/>
      <c r="M52" s="3578"/>
      <c r="N52" s="3578"/>
      <c r="O52" s="3578"/>
      <c r="P52" s="3578"/>
      <c r="Q52" s="35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9" t="s">
        <v>3812</v>
      </c>
      <c r="P53" s="3570"/>
      <c r="S53" s="3597" t="str">
        <f>B53</f>
        <v>UNIT SUMMARY</v>
      </c>
      <c r="T53" s="3597"/>
      <c r="U53" s="3597"/>
      <c r="V53" s="3597"/>
      <c r="AY53" s="359"/>
      <c r="BD53" s="359"/>
      <c r="LO53" s="361"/>
      <c r="MD53" s="357"/>
    </row>
    <row r="54" spans="1:381" ht="14.25" customHeight="1">
      <c r="A54" s="10"/>
      <c r="B54" s="10"/>
      <c r="K54" s="144" t="s">
        <v>6643</v>
      </c>
      <c r="O54" s="3567" t="s">
        <v>7049</v>
      </c>
      <c r="P54" s="3568"/>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1" t="s">
        <v>4075</v>
      </c>
      <c r="B56" s="3661"/>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7" t="s">
        <v>3184</v>
      </c>
      <c r="R56" s="889"/>
      <c r="S56" s="3564"/>
      <c r="T56" s="3565"/>
      <c r="U56" s="3565"/>
      <c r="V56" s="3565"/>
      <c r="W56" s="356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1"/>
      <c r="B57" s="3661"/>
      <c r="C57" s="72"/>
      <c r="D57" s="1"/>
      <c r="E57" s="1"/>
      <c r="F57" s="1"/>
      <c r="G57" s="62"/>
      <c r="H57" s="81" t="s">
        <v>3677</v>
      </c>
      <c r="I57" s="29"/>
      <c r="J57" s="62"/>
      <c r="K57" s="1127">
        <f>AC49</f>
        <v>0</v>
      </c>
      <c r="L57" s="1128">
        <f>AD49</f>
        <v>1</v>
      </c>
      <c r="M57" s="1128">
        <f>AE49</f>
        <v>4</v>
      </c>
      <c r="N57" s="1128">
        <f>AF49</f>
        <v>2</v>
      </c>
      <c r="O57" s="1129">
        <f>AG49</f>
        <v>0</v>
      </c>
      <c r="P57" s="745">
        <f t="shared" si="347"/>
        <v>7</v>
      </c>
      <c r="Q57" s="3577"/>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1"/>
      <c r="B58" s="3661"/>
      <c r="C58" s="72"/>
      <c r="D58" s="1"/>
      <c r="E58" s="1"/>
      <c r="F58" s="1"/>
      <c r="G58" s="62"/>
      <c r="H58" s="81" t="s">
        <v>1081</v>
      </c>
      <c r="I58" s="29"/>
      <c r="J58" s="62"/>
      <c r="K58" s="1127">
        <f>AH49</f>
        <v>0</v>
      </c>
      <c r="L58" s="1128">
        <f>AI49</f>
        <v>3</v>
      </c>
      <c r="M58" s="1128">
        <f>AJ49</f>
        <v>11</v>
      </c>
      <c r="N58" s="1128">
        <f>AK49</f>
        <v>7</v>
      </c>
      <c r="O58" s="1129">
        <f>AL49</f>
        <v>0</v>
      </c>
      <c r="P58" s="745">
        <f t="shared" si="347"/>
        <v>21</v>
      </c>
      <c r="Q58" s="3577"/>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1"/>
      <c r="B59" s="3661"/>
      <c r="C59" s="72"/>
      <c r="D59" s="1"/>
      <c r="E59" s="1"/>
      <c r="F59" s="1"/>
      <c r="G59" s="62"/>
      <c r="H59" s="81" t="s">
        <v>112</v>
      </c>
      <c r="I59" s="29"/>
      <c r="J59" s="912"/>
      <c r="K59" s="1148">
        <f>AM49</f>
        <v>0</v>
      </c>
      <c r="L59" s="1149">
        <f>AN49</f>
        <v>2</v>
      </c>
      <c r="M59" s="1149">
        <f>AO49</f>
        <v>9</v>
      </c>
      <c r="N59" s="1149">
        <f>AP49</f>
        <v>5</v>
      </c>
      <c r="O59" s="1150">
        <f>AQ49</f>
        <v>0</v>
      </c>
      <c r="P59" s="466">
        <f t="shared" si="347"/>
        <v>16</v>
      </c>
      <c r="Q59" s="3577"/>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1"/>
      <c r="B60" s="3661"/>
      <c r="C60" s="72"/>
      <c r="D60" s="1"/>
      <c r="E60" s="1"/>
      <c r="F60" s="1"/>
      <c r="G60" s="62"/>
      <c r="H60" s="81" t="s">
        <v>3678</v>
      </c>
      <c r="I60" s="29"/>
      <c r="J60" s="912"/>
      <c r="K60" s="1127">
        <f>AR49</f>
        <v>0</v>
      </c>
      <c r="L60" s="1128">
        <f>AS49</f>
        <v>0</v>
      </c>
      <c r="M60" s="1128">
        <f>AT49</f>
        <v>0</v>
      </c>
      <c r="N60" s="1128">
        <f>AU49</f>
        <v>0</v>
      </c>
      <c r="O60" s="1129">
        <f>AV49</f>
        <v>0</v>
      </c>
      <c r="P60" s="745">
        <f t="shared" si="347"/>
        <v>0</v>
      </c>
      <c r="Q60" s="3577"/>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1"/>
      <c r="B61" s="3661"/>
      <c r="C61" s="72"/>
      <c r="D61" s="1"/>
      <c r="E61" s="1"/>
      <c r="F61" s="1"/>
      <c r="G61" s="62"/>
      <c r="H61" s="81" t="s">
        <v>3679</v>
      </c>
      <c r="I61" s="29"/>
      <c r="J61" s="62"/>
      <c r="K61" s="1127">
        <f>AW49</f>
        <v>0</v>
      </c>
      <c r="L61" s="1128">
        <f>AX49</f>
        <v>0</v>
      </c>
      <c r="M61" s="1128">
        <f>AY49</f>
        <v>0</v>
      </c>
      <c r="N61" s="1128">
        <f>AZ49</f>
        <v>0</v>
      </c>
      <c r="O61" s="1129">
        <f>BA49</f>
        <v>0</v>
      </c>
      <c r="P61" s="745">
        <f t="shared" si="347"/>
        <v>0</v>
      </c>
      <c r="Q61" s="3577"/>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1"/>
      <c r="B62" s="3661"/>
      <c r="C62" s="4"/>
      <c r="D62" s="1"/>
      <c r="E62" s="1"/>
      <c r="F62" s="1"/>
      <c r="G62" s="62"/>
      <c r="H62" s="81" t="s">
        <v>3680</v>
      </c>
      <c r="I62" s="29"/>
      <c r="J62" s="62"/>
      <c r="K62" s="1130">
        <f>BB49</f>
        <v>0</v>
      </c>
      <c r="L62" s="1131">
        <f>BC49</f>
        <v>0</v>
      </c>
      <c r="M62" s="1131">
        <f>BD49</f>
        <v>0</v>
      </c>
      <c r="N62" s="1131">
        <f>BE49</f>
        <v>0</v>
      </c>
      <c r="O62" s="1132">
        <f>BF49</f>
        <v>0</v>
      </c>
      <c r="P62" s="466">
        <f t="shared" si="347"/>
        <v>0</v>
      </c>
      <c r="Q62" s="3577"/>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1"/>
      <c r="B63" s="3661"/>
      <c r="C63" s="81" t="s">
        <v>3762</v>
      </c>
      <c r="D63" s="1"/>
      <c r="E63" s="1"/>
      <c r="F63" s="1"/>
      <c r="G63" s="62"/>
      <c r="H63" s="68"/>
      <c r="I63" s="44"/>
      <c r="J63" s="62"/>
      <c r="K63" s="1092">
        <f>SUM(K56:K62)</f>
        <v>0</v>
      </c>
      <c r="L63" s="1092">
        <f>SUM(L56:L62)</f>
        <v>6</v>
      </c>
      <c r="M63" s="1092">
        <f>SUM(M56:M62)</f>
        <v>24</v>
      </c>
      <c r="N63" s="1092">
        <f>SUM(N56:N62)</f>
        <v>14</v>
      </c>
      <c r="O63" s="1092">
        <f>SUM(O56:O62)</f>
        <v>0</v>
      </c>
      <c r="P63" s="1092">
        <f t="shared" si="347"/>
        <v>44</v>
      </c>
      <c r="Q63" s="3578"/>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1"/>
      <c r="B64" s="3661"/>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1"/>
      <c r="B65" s="3661"/>
      <c r="C65" s="1097" t="s">
        <v>1070</v>
      </c>
      <c r="D65" s="1097"/>
      <c r="E65" s="1097"/>
      <c r="F65" s="1097"/>
      <c r="G65" s="1098"/>
      <c r="H65" s="1439"/>
      <c r="I65" s="42"/>
      <c r="J65" s="1098"/>
      <c r="K65" s="1099">
        <f>SUM(K63:K64)</f>
        <v>0</v>
      </c>
      <c r="L65" s="1099">
        <f>SUM(L63:L64)</f>
        <v>6</v>
      </c>
      <c r="M65" s="1099">
        <f>SUM(M63:M64)</f>
        <v>24</v>
      </c>
      <c r="N65" s="1099">
        <f>SUM(N63:N64)</f>
        <v>14</v>
      </c>
      <c r="O65" s="1099">
        <f>SUM(O63:O64)</f>
        <v>0</v>
      </c>
      <c r="P65" s="1099">
        <f t="shared" si="347"/>
        <v>44</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1"/>
      <c r="B66" s="3661"/>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1"/>
      <c r="B67" s="3661"/>
      <c r="C67" s="4" t="s">
        <v>1667</v>
      </c>
      <c r="D67" s="1"/>
      <c r="E67" s="1"/>
      <c r="F67" s="1"/>
      <c r="G67" s="62"/>
      <c r="H67" s="81"/>
      <c r="I67" s="29"/>
      <c r="J67" s="62"/>
      <c r="K67" s="1091">
        <f>SUM(K65:K66)</f>
        <v>0</v>
      </c>
      <c r="L67" s="1091">
        <f>SUM(L65:L66)</f>
        <v>6</v>
      </c>
      <c r="M67" s="1091">
        <f>SUM(M65:M66)</f>
        <v>24</v>
      </c>
      <c r="N67" s="1091">
        <f>SUM(N65:N66)</f>
        <v>14</v>
      </c>
      <c r="O67" s="1091">
        <f>SUM(O65:O66)</f>
        <v>0</v>
      </c>
      <c r="P67" s="1091">
        <f t="shared" si="347"/>
        <v>44</v>
      </c>
      <c r="S67" s="3574"/>
      <c r="T67" s="3575"/>
      <c r="U67" s="3575"/>
      <c r="V67" s="3575"/>
      <c r="W67" s="357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1"/>
      <c r="B68" s="366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1"/>
      <c r="B69" s="3661"/>
      <c r="C69" s="3607" t="s">
        <v>3771</v>
      </c>
      <c r="D69" s="3607"/>
      <c r="E69" s="3607"/>
      <c r="F69" s="360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1"/>
      <c r="B70" s="3661"/>
      <c r="C70" s="3607"/>
      <c r="D70" s="3607"/>
      <c r="E70" s="3607"/>
      <c r="F70" s="3607"/>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4"/>
      <c r="T70" s="3565"/>
      <c r="U70" s="3565"/>
      <c r="V70" s="3565"/>
      <c r="W70" s="356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1"/>
      <c r="B71" s="3661"/>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1"/>
      <c r="B72" s="3661"/>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1"/>
      <c r="B73" s="3661"/>
      <c r="C73" s="667"/>
      <c r="D73" s="3557" t="s">
        <v>4068</v>
      </c>
      <c r="E73" s="3557"/>
      <c r="F73" s="3557"/>
      <c r="G73" s="6"/>
      <c r="H73" s="81" t="s">
        <v>3677</v>
      </c>
      <c r="I73" s="29"/>
      <c r="J73" s="1"/>
      <c r="K73" s="1436" t="str">
        <f t="shared" ref="K73:P73" si="350">IF(OR(K57=0,K67=0),"",K57/K67)</f>
        <v/>
      </c>
      <c r="L73" s="1437">
        <f t="shared" si="350"/>
        <v>0.16666666666666666</v>
      </c>
      <c r="M73" s="1437">
        <f t="shared" si="350"/>
        <v>0.16666666666666666</v>
      </c>
      <c r="N73" s="1437">
        <f t="shared" si="350"/>
        <v>0.14285714285714285</v>
      </c>
      <c r="O73" s="1437" t="str">
        <f t="shared" si="350"/>
        <v/>
      </c>
      <c r="P73" s="1438">
        <f t="shared" si="350"/>
        <v>0.15909090909090909</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7"/>
      <c r="E74" s="3557"/>
      <c r="F74" s="3557"/>
      <c r="G74" s="6"/>
      <c r="H74" s="81" t="s">
        <v>6486</v>
      </c>
      <c r="I74" s="29"/>
      <c r="J74" s="1"/>
      <c r="K74" s="1509" t="str">
        <f>IF(OR(K57=0,P73="",K67=0),"",P73*K67)</f>
        <v/>
      </c>
      <c r="L74" s="1509">
        <f>IF(OR(L57=0,P73="",L67=0),"",P73*L67)</f>
        <v>0.95454545454545459</v>
      </c>
      <c r="M74" s="1509">
        <f>IF(OR(M57=0,P73="",M67=0),"",P73*M67)</f>
        <v>3.8181818181818183</v>
      </c>
      <c r="N74" s="1509">
        <f>IF(OR(N57=0,P73="",N67=0),"",P73*N67)</f>
        <v>2.2272727272727271</v>
      </c>
      <c r="O74" s="1509" t="str">
        <f>IF(OR(O57=0,P73="",O67=0),"",P73*O67)</f>
        <v/>
      </c>
      <c r="P74" s="1510">
        <f>IF(OR(P73="",P67=0),"",P73*P67)</f>
        <v>7</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7"/>
      <c r="E75" s="3557"/>
      <c r="F75" s="3557"/>
      <c r="G75" s="1504"/>
      <c r="H75" s="1441" t="s">
        <v>6487</v>
      </c>
      <c r="I75" s="1409"/>
      <c r="J75" s="1"/>
      <c r="K75" s="1511" t="str">
        <f t="shared" ref="K75:P75" si="351">IF(OR(K74="",K57=0),"", K57-K74)</f>
        <v/>
      </c>
      <c r="L75" s="1511">
        <f t="shared" si="351"/>
        <v>4.5454545454545414E-2</v>
      </c>
      <c r="M75" s="1511">
        <f t="shared" si="351"/>
        <v>0.18181818181818166</v>
      </c>
      <c r="N75" s="1511">
        <f t="shared" si="351"/>
        <v>-0.22727272727272707</v>
      </c>
      <c r="O75" s="1511" t="str">
        <f t="shared" si="351"/>
        <v/>
      </c>
      <c r="P75" s="1511">
        <f t="shared" si="351"/>
        <v>0</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7"/>
      <c r="E76" s="3557"/>
      <c r="F76" s="3557"/>
      <c r="G76" s="6"/>
      <c r="H76" s="81" t="s">
        <v>1081</v>
      </c>
      <c r="I76" s="29"/>
      <c r="J76" s="1"/>
      <c r="K76" s="1436" t="str">
        <f t="shared" ref="K76:P76" si="352">IF(OR(K58=0,K67=0),"",K58/K67)</f>
        <v/>
      </c>
      <c r="L76" s="1437">
        <f t="shared" si="352"/>
        <v>0.5</v>
      </c>
      <c r="M76" s="1437">
        <f t="shared" si="352"/>
        <v>0.45833333333333331</v>
      </c>
      <c r="N76" s="1437">
        <f t="shared" si="352"/>
        <v>0.5</v>
      </c>
      <c r="O76" s="1437" t="str">
        <f t="shared" si="352"/>
        <v/>
      </c>
      <c r="P76" s="1438">
        <f t="shared" si="352"/>
        <v>0.47727272727272729</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7"/>
      <c r="E77" s="3557"/>
      <c r="F77" s="3557"/>
      <c r="G77" s="6"/>
      <c r="H77" s="81" t="s">
        <v>6486</v>
      </c>
      <c r="I77" s="29"/>
      <c r="J77" s="1"/>
      <c r="K77" s="1509" t="str">
        <f>IF(OR(K58=0,P76="",K67=0),"",P76*K67)</f>
        <v/>
      </c>
      <c r="L77" s="1509">
        <f>IF(OR(L58=0,P76="",L67=0),"",P76*L67)</f>
        <v>2.8636363636363638</v>
      </c>
      <c r="M77" s="1509">
        <f>IF(OR(M58=0,P76="",M67=0),"",P76*M67)</f>
        <v>11.454545454545455</v>
      </c>
      <c r="N77" s="1509">
        <f>IF(OR(N58=0,P76="",N67=0),"",P76*N67)</f>
        <v>6.6818181818181817</v>
      </c>
      <c r="O77" s="1509" t="str">
        <f>IF(OR(O58=0,P76="",O67=0),"",P76*O67)</f>
        <v/>
      </c>
      <c r="P77" s="1510">
        <f>IF(OR(P76="",P67=0),"",P76*P67)</f>
        <v>21</v>
      </c>
      <c r="S77" s="3574"/>
      <c r="T77" s="3575"/>
      <c r="U77" s="3575"/>
      <c r="V77" s="3575"/>
      <c r="W77" s="357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7"/>
      <c r="E78" s="3557"/>
      <c r="F78" s="3557"/>
      <c r="G78" s="1504"/>
      <c r="H78" s="1441" t="s">
        <v>6487</v>
      </c>
      <c r="I78" s="1409"/>
      <c r="J78" s="1"/>
      <c r="K78" s="1511" t="str">
        <f t="shared" ref="K78:P78" si="353">IF(OR(K77="",K58=0),"", K58-K77)</f>
        <v/>
      </c>
      <c r="L78" s="1511">
        <f t="shared" si="353"/>
        <v>0.13636363636363624</v>
      </c>
      <c r="M78" s="1511">
        <f t="shared" si="353"/>
        <v>-0.45454545454545503</v>
      </c>
      <c r="N78" s="1511">
        <f t="shared" si="353"/>
        <v>0.31818181818181834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0.33333333333333331</v>
      </c>
      <c r="M79" s="1437">
        <f t="shared" si="354"/>
        <v>0.375</v>
      </c>
      <c r="N79" s="1437">
        <f t="shared" si="354"/>
        <v>0.35714285714285715</v>
      </c>
      <c r="O79" s="1437" t="str">
        <f t="shared" si="354"/>
        <v/>
      </c>
      <c r="P79" s="1438">
        <f t="shared" si="354"/>
        <v>0.36363636363636365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2.1818181818181817</v>
      </c>
      <c r="M80" s="1509">
        <f>IF(OR(M59=0,P79="",M67=0),"",P79*M67)</f>
        <v>8.7272727272727266</v>
      </c>
      <c r="N80" s="1509">
        <f>IF(OR(N59=0,P79="",N67=0),"",P79*N67)</f>
        <v>5.0909090909090908</v>
      </c>
      <c r="O80" s="1509" t="str">
        <f>IF(OR(O59=0,P79="",O67=0),"",P79*O67)</f>
        <v/>
      </c>
      <c r="P80" s="1510">
        <f>IF(OR(P79="",P67=0),"",P79*P67)</f>
        <v>16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-0.18181818181818166</v>
      </c>
      <c r="M81" s="1511">
        <f t="shared" si="355"/>
        <v>0.27272727272727337</v>
      </c>
      <c r="N81" s="1511">
        <f t="shared" si="355"/>
        <v>-9.0909090909090828E-2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4"/>
      <c r="T93" s="3565"/>
      <c r="U93" s="3565"/>
      <c r="V93" s="3565"/>
      <c r="W93" s="356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4"/>
      <c r="T100" s="3575"/>
      <c r="U100" s="3575"/>
      <c r="V100" s="3575"/>
      <c r="W100" s="357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8" t="str">
        <f>$O$53</f>
        <v>Income Averaging</v>
      </c>
      <c r="M102" s="3599"/>
      <c r="N102" s="3599"/>
      <c r="O102" s="36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4"/>
      <c r="T104" s="3565"/>
      <c r="U104" s="3565"/>
      <c r="V104" s="3565"/>
      <c r="W104" s="356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4"/>
      <c r="T111" s="3575"/>
      <c r="U111" s="3575"/>
      <c r="V111" s="3575"/>
      <c r="W111" s="357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0" t="s">
        <v>35</v>
      </c>
      <c r="D113" s="3560"/>
      <c r="E113" s="81" t="s">
        <v>2120</v>
      </c>
      <c r="F113" s="1"/>
      <c r="G113" s="62"/>
      <c r="H113" s="81" t="s">
        <v>1343</v>
      </c>
      <c r="I113" s="29"/>
      <c r="J113" s="62"/>
      <c r="K113" s="1124">
        <f>GG49</f>
        <v>0</v>
      </c>
      <c r="L113" s="1125">
        <f>GH49</f>
        <v>6</v>
      </c>
      <c r="M113" s="1125">
        <f>GI49</f>
        <v>24</v>
      </c>
      <c r="N113" s="1125">
        <f>GJ49</f>
        <v>14</v>
      </c>
      <c r="O113" s="1126">
        <f>GK49</f>
        <v>0</v>
      </c>
      <c r="P113" s="749">
        <f t="shared" ref="P113:P123" si="364">SUM(K113:O113)</f>
        <v>44</v>
      </c>
      <c r="S113" s="3564"/>
      <c r="T113" s="3565"/>
      <c r="U113" s="3565"/>
      <c r="V113" s="3565"/>
      <c r="W113" s="356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0"/>
      <c r="D114" s="3560"/>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0"/>
      <c r="D115" s="3560"/>
      <c r="E115" s="81"/>
      <c r="F115" s="1"/>
      <c r="G115" s="62"/>
      <c r="H115" s="141" t="s">
        <v>29</v>
      </c>
      <c r="I115" s="66"/>
      <c r="J115" s="62"/>
      <c r="K115" s="1093">
        <f>SUM(K113:K114)+GQ49</f>
        <v>0</v>
      </c>
      <c r="L115" s="1093">
        <f>SUM(L113:L114)+GR49</f>
        <v>6</v>
      </c>
      <c r="M115" s="1093">
        <f>SUM(M113:M114)+GS49</f>
        <v>24</v>
      </c>
      <c r="N115" s="1093">
        <f>SUM(N113:N114)+GT49</f>
        <v>14</v>
      </c>
      <c r="O115" s="1093">
        <f>SUM(O113:O114)+GU49</f>
        <v>0</v>
      </c>
      <c r="P115" s="1093">
        <f t="shared" si="364"/>
        <v>44</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0"/>
      <c r="D116" s="3560"/>
      <c r="E116" s="81" t="s">
        <v>1983</v>
      </c>
      <c r="F116" s="1"/>
      <c r="G116" s="62"/>
      <c r="H116" s="81" t="s">
        <v>1343</v>
      </c>
      <c r="I116" s="29"/>
      <c r="J116" s="62"/>
      <c r="K116" s="1124">
        <f>GV49</f>
        <v>0</v>
      </c>
      <c r="L116" s="1125">
        <f>GW49</f>
        <v>0</v>
      </c>
      <c r="M116" s="1125">
        <f>GX49</f>
        <v>0</v>
      </c>
      <c r="N116" s="1125">
        <f>GY49</f>
        <v>0</v>
      </c>
      <c r="O116" s="1126">
        <f>GZ49</f>
        <v>0</v>
      </c>
      <c r="P116" s="749">
        <f t="shared" si="364"/>
        <v>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0"/>
      <c r="D117" s="3560"/>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0"/>
      <c r="D118" s="3560"/>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3" t="s">
        <v>1337</v>
      </c>
      <c r="F119" s="3603"/>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3"/>
      <c r="F120" s="3603"/>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8" t="str">
        <f>IF(AND('Part III-A-Uses of Funds'!$T$179="Yes",'Part VIII Scoring Criteria'!$O$312&gt;0,P123&lt;1),"SHOW HISTORIC UNITS HERE &gt;&gt;&gt;&gt;","")</f>
        <v/>
      </c>
      <c r="B123" s="3668"/>
      <c r="C123" s="3668"/>
      <c r="D123" s="3668"/>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4"/>
      <c r="T125" s="3575"/>
      <c r="U125" s="3575"/>
      <c r="V125" s="3575"/>
      <c r="W125" s="357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9" t="s">
        <v>6491</v>
      </c>
      <c r="D127" s="3559"/>
      <c r="E127" s="908" t="s">
        <v>36</v>
      </c>
      <c r="F127" s="767"/>
      <c r="G127" s="909"/>
      <c r="H127" s="1442"/>
      <c r="I127" s="910"/>
      <c r="J127" s="911"/>
      <c r="K127" s="1145">
        <f t="shared" ref="K127:P127" si="365">SUM(K128:K135)</f>
        <v>0</v>
      </c>
      <c r="L127" s="1146">
        <f t="shared" si="365"/>
        <v>6</v>
      </c>
      <c r="M127" s="1146">
        <f t="shared" si="365"/>
        <v>24</v>
      </c>
      <c r="N127" s="1146">
        <f t="shared" si="365"/>
        <v>14</v>
      </c>
      <c r="O127" s="1147">
        <f t="shared" si="365"/>
        <v>0</v>
      </c>
      <c r="P127" s="1096">
        <f t="shared" si="365"/>
        <v>44</v>
      </c>
      <c r="S127" s="3564"/>
      <c r="T127" s="3565"/>
      <c r="U127" s="3565"/>
      <c r="V127" s="3565"/>
      <c r="W127" s="356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6" t="s">
        <v>6291</v>
      </c>
      <c r="I128" s="33"/>
      <c r="J128" s="912"/>
      <c r="K128" s="1127">
        <f>JS49</f>
        <v>0</v>
      </c>
      <c r="L128" s="1128">
        <f>JT49</f>
        <v>6</v>
      </c>
      <c r="M128" s="1128">
        <f>JU49</f>
        <v>24</v>
      </c>
      <c r="N128" s="1128">
        <f>JV49</f>
        <v>14</v>
      </c>
      <c r="O128" s="1129">
        <f>JW49</f>
        <v>0</v>
      </c>
      <c r="P128" s="745">
        <f t="shared" ref="P128:P143" si="366">SUM(K128:O128)</f>
        <v>44</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6" t="s">
        <v>6293</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6" t="s">
        <v>6485</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6480</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6481</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6287</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4"/>
      <c r="T143" s="3575"/>
      <c r="U143" s="3575"/>
      <c r="V143" s="3575"/>
      <c r="W143" s="357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8" t="str">
        <f>$O$53</f>
        <v>Income Averaging</v>
      </c>
      <c r="M145" s="3599"/>
      <c r="N145" s="3599"/>
      <c r="O145" s="3600"/>
      <c r="P145" s="62"/>
      <c r="S145" s="3597" t="str">
        <f>B145</f>
        <v>UNIT SUMMARY (Continued)</v>
      </c>
      <c r="T145" s="3597"/>
      <c r="U145" s="3597"/>
      <c r="V145" s="359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9" t="s">
        <v>6492</v>
      </c>
      <c r="D147" s="35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4"/>
      <c r="T147" s="3565"/>
      <c r="U147" s="3565"/>
      <c r="V147" s="3565"/>
      <c r="W147" s="356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6"/>
      <c r="I151" s="33"/>
      <c r="J151" s="912"/>
      <c r="K151" s="1160">
        <f t="shared" ref="K151:O154" si="371">K128+K132</f>
        <v>0</v>
      </c>
      <c r="L151" s="1161">
        <f t="shared" si="371"/>
        <v>6</v>
      </c>
      <c r="M151" s="1161">
        <f t="shared" si="371"/>
        <v>24</v>
      </c>
      <c r="N151" s="1161">
        <f t="shared" si="371"/>
        <v>14</v>
      </c>
      <c r="O151" s="1162">
        <f t="shared" si="371"/>
        <v>0</v>
      </c>
      <c r="P151" s="1688">
        <f t="shared" si="369"/>
        <v>44</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3" t="s">
        <v>3890</v>
      </c>
      <c r="S154" s="3574"/>
      <c r="T154" s="3575"/>
      <c r="U154" s="3575"/>
      <c r="V154" s="3575"/>
      <c r="W154" s="357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3"/>
      <c r="S156" s="3186" t="str">
        <f>B156</f>
        <v>UNIT SQUARE FOOTAGE</v>
      </c>
      <c r="T156" s="3186"/>
      <c r="U156" s="3186"/>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4"/>
      <c r="T157" s="3565"/>
      <c r="U157" s="3565"/>
      <c r="V157" s="3565"/>
      <c r="W157" s="356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800</v>
      </c>
      <c r="M158" s="1164">
        <f>EP49</f>
        <v>3856</v>
      </c>
      <c r="N158" s="1164">
        <f>EQ49</f>
        <v>2314</v>
      </c>
      <c r="O158" s="1165">
        <f>ER49</f>
        <v>0</v>
      </c>
      <c r="P158" s="1088">
        <f t="shared" si="372"/>
        <v>6970</v>
      </c>
      <c r="Q158" s="1291">
        <f t="shared" si="373"/>
        <v>995.71428571428567</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2400</v>
      </c>
      <c r="M159" s="1164">
        <f>EU49</f>
        <v>10604</v>
      </c>
      <c r="N159" s="1164">
        <f>EV49</f>
        <v>8099</v>
      </c>
      <c r="O159" s="1165">
        <f>EW49</f>
        <v>0</v>
      </c>
      <c r="P159" s="1088">
        <f t="shared" si="372"/>
        <v>21103</v>
      </c>
      <c r="Q159" s="1291">
        <f t="shared" si="373"/>
        <v>1004.9047619047619</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1600</v>
      </c>
      <c r="M160" s="1224">
        <f>EZ49</f>
        <v>8676</v>
      </c>
      <c r="N160" s="1224">
        <f>FA49</f>
        <v>5785</v>
      </c>
      <c r="O160" s="1225">
        <f>FB49</f>
        <v>0</v>
      </c>
      <c r="P160" s="1226">
        <f t="shared" si="372"/>
        <v>16061</v>
      </c>
      <c r="Q160" s="1291">
        <f t="shared" si="373"/>
        <v>1003.8125</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4800</v>
      </c>
      <c r="M164" s="1690">
        <f>SUM(M157:M163)</f>
        <v>23136</v>
      </c>
      <c r="N164" s="1690">
        <f>SUM(N157:N163)</f>
        <v>16198</v>
      </c>
      <c r="O164" s="1690">
        <f>SUM(O157:O163)</f>
        <v>0</v>
      </c>
      <c r="P164" s="1690">
        <f>SUM(K164:O164)</f>
        <v>44134</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4800</v>
      </c>
      <c r="M166" s="1689">
        <f>SUM(M164:M165)</f>
        <v>23136</v>
      </c>
      <c r="N166" s="1689">
        <f>SUM(N164:N165)</f>
        <v>16198</v>
      </c>
      <c r="O166" s="1689">
        <f>SUM(O164:O165)</f>
        <v>0</v>
      </c>
      <c r="P166" s="1689">
        <f>SUM(K166:O166)</f>
        <v>44134</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4800</v>
      </c>
      <c r="M168" s="1094">
        <f>SUM(M166:M167)</f>
        <v>23136</v>
      </c>
      <c r="N168" s="1094">
        <f>SUM(N166:N167)</f>
        <v>16198</v>
      </c>
      <c r="O168" s="1094">
        <f>SUM(O166:O167)</f>
        <v>0</v>
      </c>
      <c r="P168" s="1094">
        <f>SUM(K168:O168)</f>
        <v>44134</v>
      </c>
      <c r="S168" s="3574"/>
      <c r="T168" s="3575"/>
      <c r="U168" s="3575"/>
      <c r="V168" s="3575"/>
      <c r="W168" s="357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800</v>
      </c>
      <c r="M171" s="1290">
        <f>IF(OR(M67="",M67=0),"",M168/M67)</f>
        <v>964</v>
      </c>
      <c r="N171" s="1290">
        <f>IF(OR(N67="",N67=0),"",N168/N67)</f>
        <v>1157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6">
        <v>2200</v>
      </c>
      <c r="L174" s="365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4">
        <f>P168+K174</f>
        <v>46334</v>
      </c>
      <c r="L175" s="365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5">
        <f>'Part VI-Pro Forma'!B10*M50</f>
        <v>6511.2</v>
      </c>
      <c r="I179" s="3555"/>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4"/>
      <c r="T183" s="3565"/>
      <c r="U183" s="3565"/>
      <c r="V183" s="3565"/>
      <c r="W183" s="3566"/>
    </row>
    <row r="184" spans="1:493" ht="15.6" customHeight="1">
      <c r="B184" s="81" t="s">
        <v>690</v>
      </c>
      <c r="C184" s="3604"/>
      <c r="D184" s="3605"/>
      <c r="E184" s="3605"/>
      <c r="F184" s="3606"/>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4"/>
      <c r="T185" s="3575"/>
      <c r="U185" s="3575"/>
      <c r="V185" s="3575"/>
      <c r="W185" s="3576"/>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4"/>
      <c r="T187" s="3565"/>
      <c r="U187" s="3565"/>
      <c r="V187" s="3565"/>
      <c r="W187" s="3566"/>
    </row>
    <row r="188" spans="1:493" ht="15.6" customHeight="1">
      <c r="B188" s="81" t="s">
        <v>690</v>
      </c>
      <c r="C188" s="3604"/>
      <c r="D188" s="3605"/>
      <c r="E188" s="3605"/>
      <c r="F188" s="3606"/>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4"/>
      <c r="T189" s="3575"/>
      <c r="U189" s="3575"/>
      <c r="V189" s="3575"/>
      <c r="W189" s="357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4"/>
      <c r="T192" s="3565"/>
      <c r="U192" s="3565"/>
      <c r="V192" s="3565"/>
      <c r="W192" s="356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4"/>
      <c r="D193" s="3605"/>
      <c r="E193" s="3605"/>
      <c r="F193" s="3606"/>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4"/>
      <c r="T194" s="3575"/>
      <c r="U194" s="3575"/>
      <c r="V194" s="3575"/>
      <c r="W194" s="357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4"/>
      <c r="T196" s="3565"/>
      <c r="U196" s="3565"/>
      <c r="V196" s="3565"/>
      <c r="W196" s="356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4"/>
      <c r="D197" s="3605"/>
      <c r="E197" s="3605"/>
      <c r="F197" s="3606"/>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4"/>
      <c r="T198" s="3575"/>
      <c r="U198" s="3575"/>
      <c r="V198" s="3575"/>
      <c r="W198" s="357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4"/>
      <c r="T201" s="3565"/>
      <c r="U201" s="3565"/>
      <c r="V201" s="3565"/>
      <c r="W201" s="356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4"/>
      <c r="D202" s="3605"/>
      <c r="E202" s="3605"/>
      <c r="F202" s="3606"/>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4"/>
      <c r="T203" s="3575"/>
      <c r="U203" s="3575"/>
      <c r="V203" s="3575"/>
      <c r="W203" s="357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4"/>
      <c r="T205" s="3565"/>
      <c r="U205" s="3565"/>
      <c r="V205" s="3565"/>
      <c r="W205" s="356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4"/>
      <c r="D206" s="3605"/>
      <c r="E206" s="3605"/>
      <c r="F206" s="3606"/>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4"/>
      <c r="T207" s="3575"/>
      <c r="U207" s="3575"/>
      <c r="V207" s="3575"/>
      <c r="W207" s="357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4"/>
      <c r="T210" s="3565"/>
      <c r="U210" s="3565"/>
      <c r="V210" s="3565"/>
      <c r="W210" s="3566"/>
    </row>
    <row r="211" spans="1:493" ht="15.6" customHeight="1">
      <c r="B211" s="81" t="s">
        <v>690</v>
      </c>
      <c r="C211" s="3604"/>
      <c r="D211" s="3605"/>
      <c r="E211" s="3605"/>
      <c r="F211" s="3606"/>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4"/>
      <c r="T212" s="3575"/>
      <c r="U212" s="3575"/>
      <c r="V212" s="3575"/>
      <c r="W212" s="3576"/>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4"/>
      <c r="T214" s="3565"/>
      <c r="U214" s="3565"/>
      <c r="V214" s="3565"/>
      <c r="W214" s="3566"/>
    </row>
    <row r="215" spans="1:493" ht="15.6" customHeight="1">
      <c r="B215" s="81" t="s">
        <v>690</v>
      </c>
      <c r="C215" s="3604"/>
      <c r="D215" s="3605"/>
      <c r="E215" s="3605"/>
      <c r="F215" s="3606"/>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4"/>
      <c r="T216" s="3575"/>
      <c r="U216" s="3575"/>
      <c r="V216" s="3575"/>
      <c r="W216" s="357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22176</v>
      </c>
      <c r="R220" s="1"/>
      <c r="S220" s="3564"/>
      <c r="T220" s="3565"/>
      <c r="U220" s="3565"/>
      <c r="V220" s="3565"/>
      <c r="W220" s="356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v>30000</v>
      </c>
      <c r="G221" s="3627"/>
      <c r="H221" s="1"/>
      <c r="I221" s="1" t="s">
        <v>1300</v>
      </c>
      <c r="K221" s="1"/>
      <c r="L221" s="3626"/>
      <c r="M221" s="3627"/>
      <c r="N221" s="1"/>
      <c r="O221" s="319">
        <f>+Q220/(P67*0.93)</f>
        <v>541.93548387096769</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1">
        <v>25536</v>
      </c>
      <c r="G222" s="3602"/>
      <c r="H222" s="1"/>
      <c r="I222" s="1" t="s">
        <v>1301</v>
      </c>
      <c r="K222" s="1"/>
      <c r="L222" s="3629">
        <v>600</v>
      </c>
      <c r="M222" s="3630"/>
      <c r="N222" s="1"/>
      <c r="O222" s="319">
        <f>+Q220/(P67*0.93)/12</f>
        <v>45.161290322580641</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1"/>
      <c r="G223" s="3602"/>
      <c r="H223" s="1"/>
      <c r="I223" s="1"/>
      <c r="K223" s="8" t="s">
        <v>184</v>
      </c>
      <c r="L223" s="3633">
        <f>SUM(L221:M222)</f>
        <v>600</v>
      </c>
      <c r="M223" s="3634"/>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01"/>
      <c r="G224" s="3602"/>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01"/>
      <c r="G225" s="3602"/>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t="s">
        <v>46</v>
      </c>
      <c r="C226" s="3611"/>
      <c r="D226" s="3611"/>
      <c r="E226" s="3612"/>
      <c r="F226" s="3629"/>
      <c r="G226" s="3630"/>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3">
        <f>SUM(F221:G226)</f>
        <v>55536</v>
      </c>
      <c r="G227" s="3634"/>
      <c r="H227" s="1"/>
      <c r="I227" s="1" t="s">
        <v>1497</v>
      </c>
      <c r="K227" s="1"/>
      <c r="L227" s="3613">
        <v>1000</v>
      </c>
      <c r="M227" s="3614"/>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5">
        <v>7500</v>
      </c>
      <c r="M228" s="3616"/>
      <c r="N228" s="3628" t="str">
        <f>IF(Q230="","",IF(Q228&lt;Q230, "WARNING! OE below required minimum.",""))</f>
        <v/>
      </c>
      <c r="O228" s="4" t="s">
        <v>2029</v>
      </c>
      <c r="P228" s="1"/>
      <c r="Q228" s="326">
        <f>F227+F236+F247+L223+L231+L241+L247+Q220</f>
        <v>217086</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5">
        <v>1000</v>
      </c>
      <c r="M229" s="3616"/>
      <c r="N229" s="3628"/>
      <c r="O229" s="42" t="s">
        <v>2486</v>
      </c>
      <c r="P229" s="319">
        <f>+Q228/P67</f>
        <v>4933.772727272727</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1750</v>
      </c>
      <c r="G230" s="3627"/>
      <c r="H230" s="1"/>
      <c r="I230" s="3619" t="s">
        <v>46</v>
      </c>
      <c r="J230" s="3620"/>
      <c r="K230" s="3621"/>
      <c r="L230" s="3631"/>
      <c r="M230" s="3632"/>
      <c r="N230" s="362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143000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1">
        <v>3000</v>
      </c>
      <c r="G231" s="3602"/>
      <c r="H231" s="1"/>
      <c r="I231" s="4"/>
      <c r="K231" s="8" t="s">
        <v>184</v>
      </c>
      <c r="L231" s="3635">
        <f>SUM(L227:L230)</f>
        <v>9500</v>
      </c>
      <c r="M231" s="3636"/>
      <c r="N231" s="3628"/>
      <c r="O231" s="3641" t="s">
        <v>6724</v>
      </c>
      <c r="P231" s="3641"/>
      <c r="Q231" s="3641"/>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1"/>
      <c r="G232" s="3602"/>
      <c r="H232" s="1"/>
      <c r="N232" s="1"/>
      <c r="O232" s="3641"/>
      <c r="P232" s="3641"/>
      <c r="Q232" s="3641"/>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1"/>
      <c r="G233" s="3602"/>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1">
        <v>6500</v>
      </c>
      <c r="G234" s="3602"/>
      <c r="H234" s="1"/>
      <c r="I234" s="4" t="s">
        <v>1297</v>
      </c>
      <c r="K234" s="248" t="s">
        <v>3883</v>
      </c>
      <c r="O234" s="1312" t="s">
        <v>3085</v>
      </c>
      <c r="P234" s="4"/>
      <c r="Q234" s="917">
        <f>Q243</f>
        <v>11000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7051</v>
      </c>
      <c r="C235" s="3611"/>
      <c r="D235" s="3611"/>
      <c r="E235" s="3612"/>
      <c r="F235" s="3629">
        <v>2000</v>
      </c>
      <c r="G235" s="3630"/>
      <c r="H235" s="1"/>
      <c r="I235" s="1" t="s">
        <v>1290</v>
      </c>
      <c r="K235" s="365">
        <f>L235/12/P67</f>
        <v>14.204545454545455</v>
      </c>
      <c r="L235" s="3613">
        <v>7500</v>
      </c>
      <c r="M235" s="3614"/>
      <c r="N235" s="3628" t="str">
        <f>IF(Q234&lt;Q243, "WARNING! RR proposed is below the DCA required minimum.","")</f>
        <v/>
      </c>
      <c r="O235" s="772" t="s">
        <v>3882</v>
      </c>
      <c r="P235" s="767"/>
      <c r="Q235" s="773">
        <f>Q234/P243</f>
        <v>250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3">
        <f>SUM(F230:G235)</f>
        <v>13250</v>
      </c>
      <c r="G236" s="3634"/>
      <c r="H236" s="1"/>
      <c r="I236" s="1" t="s">
        <v>1291</v>
      </c>
      <c r="K236" s="365">
        <f>L236/12/P67</f>
        <v>0</v>
      </c>
      <c r="L236" s="3615"/>
      <c r="M236" s="3616"/>
      <c r="N236" s="3645"/>
      <c r="O236" s="3646" t="s">
        <v>3229</v>
      </c>
      <c r="P236" s="3647"/>
      <c r="Q236" s="3648"/>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7.5757575757575752</v>
      </c>
      <c r="L237" s="3615">
        <v>4000</v>
      </c>
      <c r="M237" s="3616"/>
      <c r="N237" s="3645"/>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16.098484848484848</v>
      </c>
      <c r="L238" s="3615">
        <v>8500</v>
      </c>
      <c r="M238" s="3616"/>
      <c r="N238" s="3645"/>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9">
        <v>2200</v>
      </c>
      <c r="G239" s="3650"/>
      <c r="H239" s="1"/>
      <c r="I239" s="72" t="s">
        <v>6681</v>
      </c>
      <c r="K239" s="365">
        <f>L239/12/P67</f>
        <v>0</v>
      </c>
      <c r="L239" s="3615"/>
      <c r="M239" s="3616"/>
      <c r="N239" s="3645"/>
      <c r="O239" s="387" t="s">
        <v>3052</v>
      </c>
      <c r="P239" s="673" t="str">
        <f>CONCATENATE(SUM(MF49:MJ49)," units x $",'DCA Underwriting Assumptions'!$Q$28," =")</f>
        <v>0 units x $350 =</v>
      </c>
      <c r="Q239" s="501">
        <f>SUM(MF49:MJ49)*'DCA Underwriting Assumptions'!$Q$28</f>
        <v>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7">
        <v>5500</v>
      </c>
      <c r="G240" s="3638"/>
      <c r="H240" s="1"/>
      <c r="I240" s="3622" t="s">
        <v>46</v>
      </c>
      <c r="J240" s="3623"/>
      <c r="K240" s="365">
        <f>L240/12/P67</f>
        <v>0</v>
      </c>
      <c r="L240" s="3631"/>
      <c r="M240" s="3632"/>
      <c r="N240" s="3645"/>
      <c r="O240" s="387" t="s">
        <v>3051</v>
      </c>
      <c r="P240" s="673" t="str">
        <f>CONCATENATE(SUM(MK49:MO49)," units x $",'DCA Underwriting Assumptions'!$Q$29," =")</f>
        <v>44 units x $250 =</v>
      </c>
      <c r="Q240" s="501">
        <f>SUM(MK49:MO49)*'DCA Underwriting Assumptions'!$Q$29</f>
        <v>11000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7">
        <v>20000</v>
      </c>
      <c r="G241" s="3638"/>
      <c r="H241" s="1"/>
      <c r="K241" s="8" t="s">
        <v>184</v>
      </c>
      <c r="L241" s="3635">
        <f>SUM(L235:L240)</f>
        <v>20000</v>
      </c>
      <c r="M241" s="3636"/>
      <c r="N241" s="3645"/>
      <c r="O241" s="502" t="s">
        <v>6498</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1">
        <v>5500</v>
      </c>
      <c r="G242" s="3602"/>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1">
        <v>1500</v>
      </c>
      <c r="G243" s="3602"/>
      <c r="H243" s="1"/>
      <c r="I243" s="4" t="s">
        <v>1298</v>
      </c>
      <c r="O243" s="769" t="s">
        <v>2467</v>
      </c>
      <c r="P243" s="770">
        <f>SUM(MF49:MJ49)+SUM(MK49:MO49)+SUM(MP49:MT49)+P125</f>
        <v>44</v>
      </c>
      <c r="Q243" s="771">
        <f>SUM(Q239:Q242)</f>
        <v>11000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1"/>
      <c r="G244" s="3602"/>
      <c r="H244" s="1"/>
      <c r="I244" s="72" t="s">
        <v>3929</v>
      </c>
      <c r="K244" s="1"/>
      <c r="L244" s="3613">
        <v>36189</v>
      </c>
      <c r="M244" s="3614"/>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1"/>
      <c r="G245" s="3602"/>
      <c r="H245" s="1"/>
      <c r="I245" s="1" t="s">
        <v>140</v>
      </c>
      <c r="K245" s="1"/>
      <c r="L245" s="3615">
        <v>24135</v>
      </c>
      <c r="M245" s="3616"/>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7050</v>
      </c>
      <c r="C246" s="3611"/>
      <c r="D246" s="3611"/>
      <c r="E246" s="3612"/>
      <c r="F246" s="3629">
        <v>1000</v>
      </c>
      <c r="G246" s="3630"/>
      <c r="H246" s="1"/>
      <c r="I246" s="3619" t="s">
        <v>46</v>
      </c>
      <c r="J246" s="3620"/>
      <c r="K246" s="3621"/>
      <c r="L246" s="3617"/>
      <c r="M246" s="3618"/>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3">
        <f>SUM(F239:G246)</f>
        <v>35700</v>
      </c>
      <c r="G247" s="3644"/>
      <c r="H247" s="1"/>
      <c r="K247" s="8" t="s">
        <v>184</v>
      </c>
      <c r="L247" s="3635">
        <f>SUM(L243:L246)</f>
        <v>60324</v>
      </c>
      <c r="M247" s="3642"/>
      <c r="N247" s="1"/>
      <c r="O247" s="4" t="s">
        <v>2030</v>
      </c>
      <c r="P247" s="1"/>
      <c r="Q247" s="326">
        <f>Q228+Q234</f>
        <v>228086</v>
      </c>
      <c r="R247" s="673"/>
      <c r="S247" s="3574"/>
      <c r="T247" s="3575"/>
      <c r="U247" s="3575"/>
      <c r="V247" s="3575"/>
      <c r="W247" s="357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1"/>
      <c r="L251" s="3572"/>
      <c r="M251" s="1284" t="s">
        <v>3900</v>
      </c>
      <c r="N251" s="1222"/>
      <c r="O251" s="4" t="s">
        <v>3875</v>
      </c>
      <c r="P251" s="1"/>
      <c r="Q251" s="1242">
        <f>K251*N251</f>
        <v>0</v>
      </c>
      <c r="R251" s="671"/>
      <c r="S251" s="3651"/>
      <c r="T251" s="3652"/>
      <c r="U251" s="3652"/>
      <c r="V251" s="3652"/>
      <c r="W251" s="365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51"/>
      <c r="T253" s="3652"/>
      <c r="U253" s="3652"/>
      <c r="V253" s="3652"/>
      <c r="W253" s="365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40" t="s">
        <v>7118</v>
      </c>
      <c r="B256" s="3640"/>
      <c r="C256" s="3640"/>
      <c r="D256" s="3640"/>
      <c r="E256" s="3640"/>
      <c r="F256" s="3640"/>
      <c r="G256" s="3640"/>
      <c r="H256" s="3640"/>
      <c r="I256" s="3640"/>
      <c r="J256" s="3640"/>
      <c r="K256" s="3640"/>
      <c r="L256" s="3640"/>
      <c r="M256" s="3640"/>
      <c r="N256" s="3639"/>
      <c r="O256" s="3639"/>
      <c r="P256" s="3639"/>
      <c r="Q256" s="3639"/>
      <c r="R256" s="3049" t="s">
        <v>3373</v>
      </c>
      <c r="S256" s="3012"/>
      <c r="T256" s="3012"/>
      <c r="U256" s="3012"/>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4" zoomScaleNormal="100" workbookViewId="0">
      <selection activeCell="I60" sqref="I6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3" t="str">
        <f>CONCATENATE("PART SIX - OPERATING PRO FORMA","  -  ",'Part I-Project Identification'!$O$7," ",'Part I-Project Identification'!$F$25,", ",'Part I-Project Identification'!F26,", ",'Part I-Project Identification'!J26," County")</f>
        <v>PART SIX - OPERATING PRO FORMA  -  2023-0 Windsor Crossing, Nashville, Berrien County</v>
      </c>
      <c r="B2" s="3674"/>
      <c r="C2" s="3674"/>
      <c r="D2" s="3674"/>
      <c r="E2" s="3674"/>
      <c r="F2" s="3674"/>
      <c r="G2" s="3674"/>
      <c r="H2" s="3674"/>
      <c r="I2" s="3674"/>
      <c r="J2" s="3674"/>
      <c r="K2" s="3675"/>
      <c r="L2" s="4"/>
      <c r="M2" s="4"/>
      <c r="N2" s="3676" t="str">
        <f>A2</f>
        <v>PART SIX - OPERATING PRO FORMA  -  2023-0 Windsor Crossing, Nashville, Berrien County</v>
      </c>
      <c r="O2" s="3676"/>
      <c r="P2" s="4"/>
      <c r="AA2" s="1721">
        <v>2</v>
      </c>
    </row>
    <row r="3" spans="1:27" ht="13.5" customHeight="1">
      <c r="A3" s="382"/>
      <c r="B3" s="382"/>
      <c r="C3" s="382"/>
      <c r="D3" s="382"/>
      <c r="E3" s="382"/>
      <c r="F3" s="382"/>
      <c r="G3" s="382"/>
      <c r="H3" s="382"/>
      <c r="I3" s="382"/>
      <c r="J3" s="382"/>
      <c r="K3" s="382"/>
      <c r="N3" s="3538" t="s">
        <v>1711</v>
      </c>
      <c r="O3" s="3538"/>
      <c r="AA3" s="1721">
        <v>3</v>
      </c>
    </row>
    <row r="4" spans="1:27" ht="13.5" customHeight="1">
      <c r="A4" s="10" t="s">
        <v>85</v>
      </c>
      <c r="C4" s="3677" t="str">
        <f>'Part I-Project Identification'!$A$6</f>
        <v>April 2023</v>
      </c>
      <c r="D4" s="944" t="s">
        <v>75</v>
      </c>
      <c r="E4" s="180"/>
      <c r="F4" s="945" t="s">
        <v>3402</v>
      </c>
      <c r="N4" s="10" t="str">
        <f>A4</f>
        <v>I.  OPERATING ASSUMPTIONS</v>
      </c>
      <c r="O4" s="10"/>
      <c r="AA4" s="1721">
        <v>4</v>
      </c>
    </row>
    <row r="5" spans="1:27" ht="2.65" customHeight="1">
      <c r="C5" s="3677"/>
      <c r="AA5" s="1721">
        <v>5</v>
      </c>
    </row>
    <row r="6" spans="1:27" ht="13.5" customHeight="1">
      <c r="A6" s="6" t="s">
        <v>2031</v>
      </c>
      <c r="B6" s="58">
        <f>'DCA Underwriting Assumptions'!$Q$99</f>
        <v>0.02</v>
      </c>
      <c r="C6" s="3677"/>
      <c r="D6" s="3560" t="s">
        <v>3403</v>
      </c>
      <c r="E6" s="3560"/>
      <c r="F6" s="3560"/>
      <c r="G6" s="59">
        <v>7500</v>
      </c>
      <c r="H6" s="75" t="s">
        <v>1768</v>
      </c>
      <c r="K6" s="80">
        <f>IF(($B$15+$B$16+$B$17+$B$18)=0,"",B31/($B$15+$B$16+$B$17+$B$18))</f>
        <v>-2.4285503015715477E-2</v>
      </c>
      <c r="N6" s="3564"/>
      <c r="O6" s="3566"/>
      <c r="AA6" s="1721">
        <v>6</v>
      </c>
    </row>
    <row r="7" spans="1:27">
      <c r="A7" s="6" t="s">
        <v>2032</v>
      </c>
      <c r="B7" s="58">
        <f>'DCA Underwriting Assumptions'!$Q$102</f>
        <v>0.03</v>
      </c>
      <c r="C7" s="3677"/>
      <c r="D7" s="3560"/>
      <c r="E7" s="3560"/>
      <c r="F7" s="3560"/>
      <c r="G7" s="946">
        <f>IF(OR('Part II-Sources of Funds'!E6="Yes",'Part II-Sources of Funds'!I6&gt;0),'DCA Underwriting Assumptions'!$Q$64,0)</f>
        <v>0</v>
      </c>
      <c r="N7" s="3561"/>
      <c r="O7" s="3563"/>
      <c r="AA7" s="1721">
        <v>7</v>
      </c>
    </row>
    <row r="8" spans="1:27">
      <c r="A8" s="6" t="s">
        <v>2034</v>
      </c>
      <c r="B8" s="58">
        <f>'DCA Underwriting Assumptions'!$Q$103</f>
        <v>0.03</v>
      </c>
      <c r="C8" s="3677"/>
      <c r="D8" s="1" t="s">
        <v>258</v>
      </c>
      <c r="G8" s="61"/>
      <c r="H8" s="75" t="s">
        <v>2191</v>
      </c>
      <c r="K8" s="80">
        <f>IF(($B$15+$B$16+$B$17+$B$18)=0,"",-B22/($B$15+$B$16+$B$17+$B$18))</f>
        <v>7.1807375316867525E-2</v>
      </c>
      <c r="N8" s="3561"/>
      <c r="O8" s="3563"/>
      <c r="AA8" s="1721">
        <v>8</v>
      </c>
    </row>
    <row r="9" spans="1:27" ht="13.35" customHeight="1">
      <c r="A9" s="6" t="s">
        <v>2033</v>
      </c>
      <c r="B9" s="186">
        <v>7.0000000000000007E-2</v>
      </c>
      <c r="C9" s="1213" t="str">
        <f>IF(B9&lt;0.07, "Must be &gt;= 7%!","")</f>
        <v/>
      </c>
      <c r="D9" s="1" t="s">
        <v>2307</v>
      </c>
      <c r="G9" s="1228" t="s">
        <v>2649</v>
      </c>
      <c r="H9" s="140" t="s">
        <v>1355</v>
      </c>
      <c r="K9" s="1230">
        <v>22176</v>
      </c>
      <c r="N9" s="3561"/>
      <c r="O9" s="3563"/>
      <c r="AA9" s="1721">
        <v>9</v>
      </c>
    </row>
    <row r="10" spans="1:27">
      <c r="A10" s="6" t="s">
        <v>1336</v>
      </c>
      <c r="B10" s="58">
        <v>0.02</v>
      </c>
      <c r="D10" s="1" t="s">
        <v>1597</v>
      </c>
      <c r="G10" s="1229"/>
      <c r="H10" s="140" t="s">
        <v>2174</v>
      </c>
      <c r="K10" s="1231"/>
      <c r="N10" s="3574"/>
      <c r="O10" s="3576"/>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8" t="s">
        <v>2411</v>
      </c>
      <c r="O14" s="3198"/>
      <c r="AA14" s="1721">
        <v>14</v>
      </c>
    </row>
    <row r="15" spans="1:27" ht="13.35" customHeight="1">
      <c r="A15" s="14" t="s">
        <v>2215</v>
      </c>
      <c r="B15" s="15">
        <f>'Part V-Revenues &amp; Expenses'!$M$50</f>
        <v>325560</v>
      </c>
      <c r="C15" s="15">
        <f t="shared" ref="C15:K15" si="1">$B$15*(1+$B$6)^(C14-1)</f>
        <v>332071.2</v>
      </c>
      <c r="D15" s="15">
        <f t="shared" si="1"/>
        <v>338712.62400000001</v>
      </c>
      <c r="E15" s="15">
        <f t="shared" si="1"/>
        <v>345486.87647999998</v>
      </c>
      <c r="F15" s="15">
        <f t="shared" si="1"/>
        <v>352396.61400960002</v>
      </c>
      <c r="G15" s="15">
        <f t="shared" si="1"/>
        <v>359444.54628979199</v>
      </c>
      <c r="H15" s="15">
        <f t="shared" si="1"/>
        <v>366633.43721558788</v>
      </c>
      <c r="I15" s="15">
        <f t="shared" si="1"/>
        <v>373966.10595989955</v>
      </c>
      <c r="J15" s="15">
        <f t="shared" si="1"/>
        <v>381445.42807909759</v>
      </c>
      <c r="K15" s="16">
        <f t="shared" si="1"/>
        <v>389074.33664067951</v>
      </c>
      <c r="N15" s="3564"/>
      <c r="O15" s="3566"/>
      <c r="S15" s="3669" t="s">
        <v>3408</v>
      </c>
      <c r="Z15" s="1719" t="s">
        <v>6460</v>
      </c>
      <c r="AA15" s="1721">
        <v>15</v>
      </c>
    </row>
    <row r="16" spans="1:27" ht="13.35" customHeight="1">
      <c r="A16" s="17" t="s">
        <v>952</v>
      </c>
      <c r="B16" s="18">
        <f>MIN(B15*B10,'Part V-Revenues &amp; Expenses'!$H$179)</f>
        <v>6511.2</v>
      </c>
      <c r="C16" s="18">
        <f t="shared" ref="C16:K16" si="2">$B$16*(1+$B$6)^(C14-1)</f>
        <v>6641.424</v>
      </c>
      <c r="D16" s="18">
        <f t="shared" si="2"/>
        <v>6774.2524800000001</v>
      </c>
      <c r="E16" s="18">
        <f t="shared" si="2"/>
        <v>6909.7375295999991</v>
      </c>
      <c r="F16" s="18">
        <f t="shared" si="2"/>
        <v>7047.9322801919998</v>
      </c>
      <c r="G16" s="18">
        <f t="shared" si="2"/>
        <v>7188.8909257958403</v>
      </c>
      <c r="H16" s="18">
        <f t="shared" si="2"/>
        <v>7332.6687443117571</v>
      </c>
      <c r="I16" s="18">
        <f t="shared" si="2"/>
        <v>7479.3221191979901</v>
      </c>
      <c r="J16" s="18">
        <f t="shared" si="2"/>
        <v>7628.9085615819513</v>
      </c>
      <c r="K16" s="19">
        <f t="shared" si="2"/>
        <v>7781.4867328135897</v>
      </c>
      <c r="N16" s="3561"/>
      <c r="O16" s="3563"/>
      <c r="S16" s="3670"/>
      <c r="Z16" s="1719" t="s">
        <v>6460</v>
      </c>
      <c r="AA16" s="1721">
        <v>16</v>
      </c>
    </row>
    <row r="17" spans="1:27" ht="13.35" customHeight="1">
      <c r="A17" s="17" t="s">
        <v>2216</v>
      </c>
      <c r="B17" s="18">
        <f t="shared" ref="B17:K17" si="3">-(B15+B16)*$B$9</f>
        <v>-23244.984000000004</v>
      </c>
      <c r="C17" s="18">
        <f t="shared" si="3"/>
        <v>-23709.883680000003</v>
      </c>
      <c r="D17" s="18">
        <f t="shared" si="3"/>
        <v>-24184.081353600006</v>
      </c>
      <c r="E17" s="18">
        <f t="shared" si="3"/>
        <v>-24667.762980672</v>
      </c>
      <c r="F17" s="18">
        <f t="shared" si="3"/>
        <v>-25161.118240285443</v>
      </c>
      <c r="G17" s="18">
        <f t="shared" si="3"/>
        <v>-25664.340605091151</v>
      </c>
      <c r="H17" s="18">
        <f t="shared" si="3"/>
        <v>-26177.62741719298</v>
      </c>
      <c r="I17" s="18">
        <f t="shared" si="3"/>
        <v>-26701.17996553683</v>
      </c>
      <c r="J17" s="18">
        <f t="shared" si="3"/>
        <v>-27235.203564847572</v>
      </c>
      <c r="K17" s="19">
        <f t="shared" si="3"/>
        <v>-27779.907636144519</v>
      </c>
      <c r="N17" s="3561"/>
      <c r="O17" s="3563"/>
      <c r="Q17" s="3672" t="s">
        <v>3298</v>
      </c>
      <c r="R17" s="3672" t="s">
        <v>3407</v>
      </c>
      <c r="S17" s="3670"/>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2"/>
      <c r="R18" s="3672"/>
      <c r="S18" s="3671"/>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6460</v>
      </c>
      <c r="AA19" s="1721">
        <v>19</v>
      </c>
    </row>
    <row r="20" spans="1:27" ht="13.35" customHeight="1">
      <c r="A20" s="341" t="s">
        <v>3837</v>
      </c>
      <c r="B20" s="18">
        <f>SUM(B15:B19)</f>
        <v>308826.21600000001</v>
      </c>
      <c r="C20" s="18">
        <f t="shared" ref="C20:K20" si="4">SUM(C15:C19)</f>
        <v>315002.74031999998</v>
      </c>
      <c r="D20" s="18">
        <f t="shared" si="4"/>
        <v>321302.79512640001</v>
      </c>
      <c r="E20" s="18">
        <f t="shared" si="4"/>
        <v>327728.85102892795</v>
      </c>
      <c r="F20" s="18">
        <f t="shared" si="4"/>
        <v>334283.42804950656</v>
      </c>
      <c r="G20" s="18">
        <f t="shared" si="4"/>
        <v>340969.09661049669</v>
      </c>
      <c r="H20" s="18">
        <f t="shared" si="4"/>
        <v>347788.4785427067</v>
      </c>
      <c r="I20" s="18">
        <f t="shared" si="4"/>
        <v>354744.24811356072</v>
      </c>
      <c r="J20" s="18">
        <f t="shared" si="4"/>
        <v>361839.13307583198</v>
      </c>
      <c r="K20" s="19">
        <f t="shared" si="4"/>
        <v>369075.91573734861</v>
      </c>
      <c r="N20" s="3561"/>
      <c r="O20" s="3563"/>
      <c r="Z20" s="1719" t="s">
        <v>6460</v>
      </c>
      <c r="AA20" s="1721">
        <v>20</v>
      </c>
    </row>
    <row r="21" spans="1:27" ht="13.35" customHeight="1">
      <c r="A21" s="17" t="s">
        <v>572</v>
      </c>
      <c r="B21" s="18">
        <f>-('Part V-Revenues &amp; Expenses'!$Q$228-'Part V-Revenues &amp; Expenses'!$Q$220)</f>
        <v>-194910</v>
      </c>
      <c r="C21" s="18">
        <f t="shared" ref="C21:K21" si="5">$B$21*(1+$B$7)^(C14-1)</f>
        <v>-200757.30000000002</v>
      </c>
      <c r="D21" s="18">
        <f t="shared" si="5"/>
        <v>-206780.019</v>
      </c>
      <c r="E21" s="18">
        <f t="shared" si="5"/>
        <v>-212983.41957</v>
      </c>
      <c r="F21" s="18">
        <f t="shared" si="5"/>
        <v>-219372.92215709999</v>
      </c>
      <c r="G21" s="18">
        <f t="shared" si="5"/>
        <v>-225954.10982181298</v>
      </c>
      <c r="H21" s="18">
        <f t="shared" si="5"/>
        <v>-232732.73311646737</v>
      </c>
      <c r="I21" s="18">
        <f t="shared" si="5"/>
        <v>-239714.7151099614</v>
      </c>
      <c r="J21" s="18">
        <f t="shared" si="5"/>
        <v>-246906.15656326021</v>
      </c>
      <c r="K21" s="19">
        <f t="shared" si="5"/>
        <v>-254313.34126015805</v>
      </c>
      <c r="N21" s="3561"/>
      <c r="O21" s="3563"/>
      <c r="Q21" s="47">
        <v>1</v>
      </c>
      <c r="R21" s="869">
        <f>-B32</f>
        <v>5590</v>
      </c>
      <c r="S21" s="869">
        <f>B33+R21</f>
        <v>18241.699750345448</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-22176</v>
      </c>
      <c r="C22" s="18">
        <f>IF(AND('Part VI-Pro Forma'!$G$9="Yes",'Part VI-Pro Forma'!$G$10="Yes"),"Choose One!",IF('Part VI-Pro Forma'!$G$9="Yes",ROUND((-$K$9*(1+'Part VI-Pro Forma'!$B$7)^('Part VI-Pro Forma'!C14-1)),),IF('Part VI-Pro Forma'!$G$10="Yes",ROUND((-(SUM(C15:C18)*'Part VI-Pro Forma'!$K$10)),),"Choose mgt fee")))</f>
        <v>-22841</v>
      </c>
      <c r="D22" s="18">
        <f>IF(AND('Part VI-Pro Forma'!$G$9="Yes",'Part VI-Pro Forma'!$G$10="Yes"),"Choose One!",IF('Part VI-Pro Forma'!$G$9="Yes",ROUND((-$K$9*(1+'Part VI-Pro Forma'!$B$7)^('Part VI-Pro Forma'!D14-1)),),IF('Part VI-Pro Forma'!$G$10="Yes",ROUND((-(SUM(D15:D18)*'Part VI-Pro Forma'!$K$10)),),"Choose mgt fee")))</f>
        <v>-23527</v>
      </c>
      <c r="E22" s="18">
        <f>IF(AND('Part VI-Pro Forma'!$G$9="Yes",'Part VI-Pro Forma'!$G$10="Yes"),"Choose One!",IF('Part VI-Pro Forma'!$G$9="Yes",ROUND((-$K$9*(1+'Part VI-Pro Forma'!$B$7)^('Part VI-Pro Forma'!E14-1)),),IF('Part VI-Pro Forma'!$G$10="Yes",ROUND((-(SUM(E15:E18)*'Part VI-Pro Forma'!$K$10)),),"Choose mgt fee")))</f>
        <v>-24232</v>
      </c>
      <c r="F22" s="18">
        <f>IF(AND('Part VI-Pro Forma'!$G$9="Yes",'Part VI-Pro Forma'!$G$10="Yes"),"Choose One!",IF('Part VI-Pro Forma'!$G$9="Yes",ROUND((-$K$9*(1+'Part VI-Pro Forma'!$B$7)^('Part VI-Pro Forma'!F14-1)),),IF('Part VI-Pro Forma'!$G$10="Yes",ROUND((-(SUM(F15:F18)*'Part VI-Pro Forma'!$K$10)),),"Choose mgt fee")))</f>
        <v>-24959</v>
      </c>
      <c r="G22" s="18">
        <f>IF(AND('Part VI-Pro Forma'!$G$9="Yes",'Part VI-Pro Forma'!$G$10="Yes"),"Choose One!",IF('Part VI-Pro Forma'!$G$9="Yes",ROUND((-$K$9*(1+'Part VI-Pro Forma'!$B$7)^('Part VI-Pro Forma'!G14-1)),),IF('Part VI-Pro Forma'!$G$10="Yes",ROUND((-(SUM(G15:G18)*'Part VI-Pro Forma'!$K$10)),),"Choose mgt fee")))</f>
        <v>-25708</v>
      </c>
      <c r="H22" s="18">
        <f>IF(AND('Part VI-Pro Forma'!$G$9="Yes",'Part VI-Pro Forma'!$G$10="Yes"),"Choose One!",IF('Part VI-Pro Forma'!$G$9="Yes",ROUND((-$K$9*(1+'Part VI-Pro Forma'!$B$7)^('Part VI-Pro Forma'!H14-1)),),IF('Part VI-Pro Forma'!$G$10="Yes",ROUND((-(SUM(H15:H18)*'Part VI-Pro Forma'!$K$10)),),"Choose mgt fee")))</f>
        <v>-26479</v>
      </c>
      <c r="I22" s="18">
        <f>IF(AND('Part VI-Pro Forma'!$G$9="Yes",'Part VI-Pro Forma'!$G$10="Yes"),"Choose One!",IF('Part VI-Pro Forma'!$G$9="Yes",ROUND((-$K$9*(1+'Part VI-Pro Forma'!$B$7)^('Part VI-Pro Forma'!I14-1)),),IF('Part VI-Pro Forma'!$G$10="Yes",ROUND((-(SUM(I15:I18)*'Part VI-Pro Forma'!$K$10)),),"Choose mgt fee")))</f>
        <v>-27274</v>
      </c>
      <c r="J22" s="18">
        <f>IF(AND('Part VI-Pro Forma'!$G$9="Yes",'Part VI-Pro Forma'!$G$10="Yes"),"Choose One!",IF('Part VI-Pro Forma'!$G$9="Yes",ROUND((-$K$9*(1+'Part VI-Pro Forma'!$B$7)^('Part VI-Pro Forma'!J14-1)),),IF('Part VI-Pro Forma'!$G$10="Yes",ROUND((-(SUM(J15:J18)*'Part VI-Pro Forma'!$K$10)),),"Choose mgt fee")))</f>
        <v>-28092</v>
      </c>
      <c r="K22" s="19">
        <f>IF(AND('Part VI-Pro Forma'!$G$9="Yes",'Part VI-Pro Forma'!$G$10="Yes"),"Choose One!",IF('Part VI-Pro Forma'!$G$9="Yes",ROUND((-$K$9*(1+'Part VI-Pro Forma'!$B$7)^('Part VI-Pro Forma'!K14-1)),),IF('Part VI-Pro Forma'!$G$10="Yes",ROUND((-(SUM(K15:K18)*'Part VI-Pro Forma'!$K$10)),),"Choose mgt fee")))</f>
        <v>-28935</v>
      </c>
      <c r="N22" s="3561"/>
      <c r="O22" s="3563"/>
      <c r="Q22" s="47">
        <v>2</v>
      </c>
      <c r="R22" s="869">
        <f>-SUM(B32:C32)</f>
        <v>5590</v>
      </c>
      <c r="S22" s="869">
        <f>SUM(B33:C33)+R22</f>
        <v>35817.623820690846</v>
      </c>
      <c r="Z22" s="1719" t="s">
        <v>6460</v>
      </c>
      <c r="AA22" s="1721">
        <v>22</v>
      </c>
    </row>
    <row r="23" spans="1:27" ht="13.35" customHeight="1">
      <c r="A23" s="17" t="s">
        <v>1128</v>
      </c>
      <c r="B23" s="18">
        <f>-('Part V-Revenues &amp; Expenses'!$Q$234)</f>
        <v>-11000</v>
      </c>
      <c r="C23" s="18">
        <f t="shared" ref="C23:K23" si="6">$B$23*(1+$B$8)^(C14-1)</f>
        <v>-11330</v>
      </c>
      <c r="D23" s="18">
        <f t="shared" si="6"/>
        <v>-11669.9</v>
      </c>
      <c r="E23" s="18">
        <f t="shared" si="6"/>
        <v>-12019.996999999999</v>
      </c>
      <c r="F23" s="18">
        <f t="shared" si="6"/>
        <v>-12380.596909999998</v>
      </c>
      <c r="G23" s="18">
        <f t="shared" si="6"/>
        <v>-12752.014817299998</v>
      </c>
      <c r="H23" s="18">
        <f t="shared" si="6"/>
        <v>-13134.575261819</v>
      </c>
      <c r="I23" s="18">
        <f t="shared" si="6"/>
        <v>-13528.61251967357</v>
      </c>
      <c r="J23" s="18">
        <f t="shared" si="6"/>
        <v>-13934.470895263776</v>
      </c>
      <c r="K23" s="19">
        <f t="shared" si="6"/>
        <v>-14352.50502212169</v>
      </c>
      <c r="N23" s="3561"/>
      <c r="O23" s="3563"/>
      <c r="Q23" s="47">
        <v>3</v>
      </c>
      <c r="R23" s="869">
        <f>-SUM(B32:D32)</f>
        <v>5590</v>
      </c>
      <c r="S23" s="869">
        <f>SUM(B33:D33)+R23</f>
        <v>52644.983697436299</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1"/>
      <c r="O24" s="3563"/>
      <c r="Q24" s="92">
        <v>4</v>
      </c>
      <c r="R24" s="869">
        <f>-SUM(B32:E32)</f>
        <v>5590</v>
      </c>
      <c r="S24" s="869">
        <f>SUM(B33:E33)+R24</f>
        <v>68639.901906709681</v>
      </c>
      <c r="Z24" s="1719" t="s">
        <v>6460</v>
      </c>
      <c r="AA24" s="1721">
        <v>24</v>
      </c>
    </row>
    <row r="25" spans="1:27" ht="13.35" customHeight="1">
      <c r="A25" s="17" t="s">
        <v>1129</v>
      </c>
      <c r="B25" s="18">
        <f>SUM(B20:B24)</f>
        <v>80740.216000000015</v>
      </c>
      <c r="C25" s="18">
        <f t="shared" ref="C25:J25" si="7">SUM(C20:C24)</f>
        <v>80074.440319999965</v>
      </c>
      <c r="D25" s="18">
        <f t="shared" si="7"/>
        <v>79325.87612640002</v>
      </c>
      <c r="E25" s="18">
        <f t="shared" si="7"/>
        <v>78493.43445892795</v>
      </c>
      <c r="F25" s="18">
        <f t="shared" si="7"/>
        <v>77570.908982406574</v>
      </c>
      <c r="G25" s="18">
        <f t="shared" si="7"/>
        <v>76554.971971383726</v>
      </c>
      <c r="H25" s="18">
        <f t="shared" si="7"/>
        <v>75442.170164420328</v>
      </c>
      <c r="I25" s="18">
        <f t="shared" si="7"/>
        <v>74226.920483925758</v>
      </c>
      <c r="J25" s="18">
        <f t="shared" si="7"/>
        <v>72906.505617307994</v>
      </c>
      <c r="K25" s="1215">
        <f>SUM(K20:K24)</f>
        <v>71475.069455068864</v>
      </c>
      <c r="N25" s="3561"/>
      <c r="O25" s="3563"/>
      <c r="Q25" s="92">
        <v>5</v>
      </c>
      <c r="R25" s="869">
        <f>-SUM(B32:F32)</f>
        <v>5590</v>
      </c>
      <c r="S25" s="869">
        <f>SUM(B33:F33)+R25</f>
        <v>83712.294639461688</v>
      </c>
      <c r="Z25" s="1719" t="s">
        <v>6460</v>
      </c>
      <c r="AA25" s="1721">
        <v>25</v>
      </c>
    </row>
    <row r="26" spans="1:27" ht="13.35" customHeight="1">
      <c r="A26" s="341" t="s">
        <v>1486</v>
      </c>
      <c r="B26" s="342">
        <f>IF('Part II-Sources of Funds'!$P$40="", 0,-'Part II-Sources of Funds'!$P$40)</f>
        <v>-54998.516249654567</v>
      </c>
      <c r="C26" s="342">
        <f>IF('Part II-Sources of Funds'!$P$40="", 0,-'Part II-Sources of Funds'!$P$40)</f>
        <v>-54998.516249654567</v>
      </c>
      <c r="D26" s="342">
        <f>IF('Part II-Sources of Funds'!$P$40="", 0,-'Part II-Sources of Funds'!$P$40)</f>
        <v>-54998.516249654567</v>
      </c>
      <c r="E26" s="342">
        <f>IF('Part II-Sources of Funds'!$P$40="", 0,-'Part II-Sources of Funds'!$P$40)</f>
        <v>-54998.516249654567</v>
      </c>
      <c r="F26" s="342">
        <f>IF('Part II-Sources of Funds'!$P$40="", 0,-'Part II-Sources of Funds'!$P$40)</f>
        <v>-54998.516249654567</v>
      </c>
      <c r="G26" s="342">
        <f>IF('Part II-Sources of Funds'!$P$40="", 0,-'Part II-Sources of Funds'!$P$40)</f>
        <v>-54998.516249654567</v>
      </c>
      <c r="H26" s="342">
        <f>IF('Part II-Sources of Funds'!$P$40="", 0,-'Part II-Sources of Funds'!$P$40)</f>
        <v>-54998.516249654567</v>
      </c>
      <c r="I26" s="342">
        <f>IF('Part II-Sources of Funds'!$P$40="", 0,-'Part II-Sources of Funds'!$P$40)</f>
        <v>-54998.516249654567</v>
      </c>
      <c r="J26" s="342">
        <f>IF('Part II-Sources of Funds'!$P$40="", 0,-'Part II-Sources of Funds'!$P$40)</f>
        <v>-54998.516249654567</v>
      </c>
      <c r="K26" s="342">
        <f>IF('Part II-Sources of Funds'!$P$40="", 0,-'Part II-Sources of Funds'!$P$40)</f>
        <v>-54998.516249654567</v>
      </c>
      <c r="N26" s="3561"/>
      <c r="O26" s="3563"/>
      <c r="Q26" s="92">
        <v>6</v>
      </c>
      <c r="R26" s="869">
        <f>-SUM(B32:G32)</f>
        <v>5590</v>
      </c>
      <c r="S26" s="869">
        <f>SUM(B33:G33)+R26</f>
        <v>97768.750361190847</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5590</v>
      </c>
      <c r="S27" s="869">
        <f>SUM(B33:H33)+R27</f>
        <v>110712.40427595661</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5590</v>
      </c>
      <c r="S28" s="869">
        <f>SUM(B33:I33)+R28</f>
        <v>122440.8085102278</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1"/>
      <c r="O29" s="3563"/>
      <c r="Q29" s="92">
        <v>9</v>
      </c>
      <c r="R29" s="869">
        <f>-SUM(B32:J32)</f>
        <v>5590</v>
      </c>
      <c r="S29" s="869">
        <f>SUM(B33:J33)+R29</f>
        <v>132848.79787788121</v>
      </c>
      <c r="Z29" s="1719" t="s">
        <v>6460</v>
      </c>
      <c r="AA29" s="1721">
        <v>29</v>
      </c>
    </row>
    <row r="30" spans="1:27" ht="13.35" customHeight="1">
      <c r="A30" s="17" t="s">
        <v>711</v>
      </c>
      <c r="B30" s="138"/>
      <c r="C30" s="138"/>
      <c r="D30" s="138"/>
      <c r="E30" s="138"/>
      <c r="F30" s="138"/>
      <c r="G30" s="138"/>
      <c r="H30" s="138"/>
      <c r="I30" s="138"/>
      <c r="J30" s="138"/>
      <c r="K30" s="138"/>
      <c r="N30" s="3561"/>
      <c r="O30" s="3563"/>
      <c r="Q30" s="92">
        <v>10</v>
      </c>
      <c r="R30" s="869">
        <f>-SUM(B32:K32)</f>
        <v>5590</v>
      </c>
      <c r="S30" s="869">
        <f>SUM(B33:K33)+R30</f>
        <v>141825.35108329554</v>
      </c>
      <c r="Z30" s="1719" t="s">
        <v>6460</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1"/>
      <c r="O31" s="3563"/>
      <c r="Q31" s="92">
        <v>11</v>
      </c>
      <c r="R31" s="869">
        <f>-SUM(B32:K32)-B64</f>
        <v>5590</v>
      </c>
      <c r="S31" s="869">
        <f>SUM(B33:K33)+B65+R31</f>
        <v>152206.72008620171</v>
      </c>
      <c r="Z31" s="1719" t="s">
        <v>6460</v>
      </c>
      <c r="AA31" s="1721">
        <v>31</v>
      </c>
    </row>
    <row r="32" spans="1:27" ht="13.35" customHeight="1">
      <c r="A32" s="341" t="s">
        <v>3361</v>
      </c>
      <c r="B32" s="179">
        <v>-5590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1"/>
      <c r="O32" s="3563"/>
      <c r="Q32" s="92">
        <v>12</v>
      </c>
      <c r="R32" s="869">
        <f>-SUM(B32:K32) - SUM(B64:C64)</f>
        <v>5590</v>
      </c>
      <c r="S32" s="869">
        <f>SUM(B33:K33) + SUM(B65:C65)+R32</f>
        <v>160921.4631200273</v>
      </c>
      <c r="Z32" s="1719" t="s">
        <v>6460</v>
      </c>
      <c r="AA32" s="1721">
        <v>32</v>
      </c>
    </row>
    <row r="33" spans="1:27" ht="13.35" customHeight="1">
      <c r="A33" s="17" t="s">
        <v>1096</v>
      </c>
      <c r="B33" s="18">
        <f t="shared" ref="B33:K33" si="9">SUM(B25:B32)</f>
        <v>12651.699750345448</v>
      </c>
      <c r="C33" s="18">
        <f t="shared" si="9"/>
        <v>17575.924070345398</v>
      </c>
      <c r="D33" s="18">
        <f t="shared" si="9"/>
        <v>16827.359876745453</v>
      </c>
      <c r="E33" s="18">
        <f t="shared" si="9"/>
        <v>15994.918209273383</v>
      </c>
      <c r="F33" s="18">
        <f t="shared" si="9"/>
        <v>15072.392732752007</v>
      </c>
      <c r="G33" s="18">
        <f t="shared" si="9"/>
        <v>14056.455721729159</v>
      </c>
      <c r="H33" s="18">
        <f t="shared" si="9"/>
        <v>12943.65391476576</v>
      </c>
      <c r="I33" s="18">
        <f t="shared" si="9"/>
        <v>11728.404234271191</v>
      </c>
      <c r="J33" s="18">
        <f t="shared" si="9"/>
        <v>10407.989367653427</v>
      </c>
      <c r="K33" s="19">
        <f t="shared" si="9"/>
        <v>8976.5532054142968</v>
      </c>
      <c r="N33" s="3561"/>
      <c r="O33" s="3563"/>
      <c r="Q33" s="92">
        <v>13</v>
      </c>
      <c r="R33" s="869">
        <f>-SUM(B32:K32) - SUM(B64:D64)</f>
        <v>5590</v>
      </c>
      <c r="S33" s="869">
        <f>SUM(B33:K33) + SUM(B65:D65)+R33</f>
        <v>167844.10991888959</v>
      </c>
      <c r="Z33" s="1719" t="s">
        <v>6460</v>
      </c>
      <c r="AA33" s="1721">
        <v>33</v>
      </c>
    </row>
    <row r="34" spans="1:27" ht="13.35" customHeight="1">
      <c r="A34" s="17" t="str">
        <f>IF('Part II-Sources of Funds'!$E$40 = "Neither", "", "DCR Mortgage A")</f>
        <v>DCR Mortgage A</v>
      </c>
      <c r="B34" s="20">
        <f t="shared" ref="B34:K34" si="10">IF(B26=0,"",-B25/B26)</f>
        <v>1.4680435310926616</v>
      </c>
      <c r="C34" s="20">
        <f t="shared" si="10"/>
        <v>1.4559381921599184</v>
      </c>
      <c r="D34" s="20">
        <f t="shared" si="10"/>
        <v>1.4423275669168303</v>
      </c>
      <c r="E34" s="20">
        <f t="shared" si="10"/>
        <v>1.427191855551575</v>
      </c>
      <c r="F34" s="20">
        <f t="shared" si="10"/>
        <v>1.4104182125621212</v>
      </c>
      <c r="G34" s="20">
        <f t="shared" si="10"/>
        <v>1.3919461322170588</v>
      </c>
      <c r="H34" s="20">
        <f t="shared" si="10"/>
        <v>1.3717128262509111</v>
      </c>
      <c r="I34" s="20">
        <f t="shared" si="10"/>
        <v>1.3496167814234798</v>
      </c>
      <c r="J34" s="20">
        <f t="shared" si="10"/>
        <v>1.325608590718407</v>
      </c>
      <c r="K34" s="21">
        <f t="shared" si="10"/>
        <v>1.2995817765450679</v>
      </c>
      <c r="N34" s="3561"/>
      <c r="O34" s="3563"/>
      <c r="Q34" s="92">
        <v>14</v>
      </c>
      <c r="R34" s="869">
        <f>-SUM(B32:K32) - SUM(B64:E64)</f>
        <v>5590</v>
      </c>
      <c r="S34" s="869">
        <f>SUM(B33:K33) + SUM(B65:E65)+R34</f>
        <v>172844.73027919297</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1"/>
      <c r="O35" s="3563"/>
      <c r="Q35" s="92">
        <v>15</v>
      </c>
      <c r="R35" s="869">
        <f>-SUM(B32:K32) - SUM(B64:F64)</f>
        <v>5590</v>
      </c>
      <c r="S35" s="869">
        <f>SUM(B33:K33) + SUM(B65:F65)+R35</f>
        <v>175786.77014490319</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1"/>
      <c r="O36" s="3563"/>
      <c r="Q36" s="47">
        <v>16</v>
      </c>
      <c r="R36" s="869">
        <f>-SUM(B32:K32) - SUM(B64:G64)</f>
        <v>5590</v>
      </c>
      <c r="S36" s="869">
        <f>SUM(B33:K33) + SUM(B65:G65)+R36</f>
        <v>176528.88217304708</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1"/>
      <c r="O37" s="3563"/>
      <c r="Q37" s="47">
        <v>17</v>
      </c>
      <c r="R37" s="869">
        <f>-SUM(B32:K32) - SUM(B64:H64)</f>
        <v>5590</v>
      </c>
      <c r="S37" s="869">
        <f>SUM(B33:K33) + SUM(B65:H65)+R37</f>
        <v>174922.75060180028</v>
      </c>
      <c r="Z37" s="1719" t="s">
        <v>6460</v>
      </c>
      <c r="AA37" s="1721">
        <v>37</v>
      </c>
    </row>
    <row r="38" spans="1:27" ht="13.35" customHeight="1">
      <c r="A38" s="341" t="s">
        <v>3213</v>
      </c>
      <c r="B38" s="20">
        <f t="shared" ref="B38:K38" si="14">IF(AND(B26=0,B27=0,B28=0,B29=0),"",-B25/(B26+B27+B28+B29))</f>
        <v>1.4680435310926616</v>
      </c>
      <c r="C38" s="20">
        <f t="shared" si="14"/>
        <v>1.4559381921599184</v>
      </c>
      <c r="D38" s="20">
        <f t="shared" si="14"/>
        <v>1.4423275669168303</v>
      </c>
      <c r="E38" s="20">
        <f t="shared" si="14"/>
        <v>1.427191855551575</v>
      </c>
      <c r="F38" s="20">
        <f t="shared" si="14"/>
        <v>1.4104182125621212</v>
      </c>
      <c r="G38" s="20">
        <f t="shared" si="14"/>
        <v>1.3919461322170588</v>
      </c>
      <c r="H38" s="20">
        <f t="shared" si="14"/>
        <v>1.3717128262509111</v>
      </c>
      <c r="I38" s="20">
        <f t="shared" si="14"/>
        <v>1.3496167814234798</v>
      </c>
      <c r="J38" s="20">
        <f t="shared" si="14"/>
        <v>1.325608590718407</v>
      </c>
      <c r="K38" s="21">
        <f t="shared" si="14"/>
        <v>1.2995817765450679</v>
      </c>
      <c r="N38" s="3561"/>
      <c r="O38" s="3563"/>
      <c r="Q38" s="47">
        <v>18</v>
      </c>
      <c r="R38" s="869">
        <f>-SUM(B32:K32) - SUM(B64:I64)</f>
        <v>5590</v>
      </c>
      <c r="S38" s="869">
        <f>SUM(B33:K33) + SUM(B65:I65)+R38</f>
        <v>170814.91023794905</v>
      </c>
      <c r="Z38" s="1719" t="s">
        <v>6460</v>
      </c>
      <c r="AA38" s="1721">
        <v>38</v>
      </c>
    </row>
    <row r="39" spans="1:27" ht="13.35" customHeight="1">
      <c r="A39" s="17" t="s">
        <v>718</v>
      </c>
      <c r="B39" s="220">
        <f t="shared" ref="B39:K39" si="15">IF(OR(B22="Choose mgt fee",B22="Choose One!"),"",(B15+B16+B17+B18+B19) / -(B21+B22+B23))</f>
        <v>1.353990231754689</v>
      </c>
      <c r="C39" s="220">
        <f t="shared" si="15"/>
        <v>1.3408462936138386</v>
      </c>
      <c r="D39" s="220">
        <f t="shared" si="15"/>
        <v>1.3278241431216835</v>
      </c>
      <c r="E39" s="220">
        <f t="shared" si="15"/>
        <v>1.3149369200379368</v>
      </c>
      <c r="F39" s="220">
        <f t="shared" si="15"/>
        <v>1.3021703392740693</v>
      </c>
      <c r="G39" s="220">
        <f t="shared" si="15"/>
        <v>1.2895267871028833</v>
      </c>
      <c r="H39" s="220">
        <f t="shared" si="15"/>
        <v>1.2770082348964023</v>
      </c>
      <c r="I39" s="220">
        <f t="shared" si="15"/>
        <v>1.264607256568218</v>
      </c>
      <c r="J39" s="220">
        <f t="shared" si="15"/>
        <v>1.2523304697659097</v>
      </c>
      <c r="K39" s="221">
        <f t="shared" si="15"/>
        <v>1.2401709213799528</v>
      </c>
      <c r="N39" s="3561"/>
      <c r="O39" s="3563"/>
      <c r="Q39" s="92">
        <v>19</v>
      </c>
      <c r="R39" s="869">
        <f>-SUM(B32:K32) - SUM(B64:J64)</f>
        <v>5590</v>
      </c>
      <c r="S39" s="869">
        <f>SUM(B33:K33) + SUM(B65:J65)+R39</f>
        <v>164046.55937477876</v>
      </c>
      <c r="Z39" s="1719" t="s">
        <v>6460</v>
      </c>
      <c r="AA39" s="1721">
        <v>39</v>
      </c>
    </row>
    <row r="40" spans="1:27" ht="13.35" customHeight="1">
      <c r="A40" s="341" t="s">
        <v>2405</v>
      </c>
      <c r="B40" s="177">
        <f>IF('Part II-Sources of Funds'!$I$40="","",-FV('Part II-Sources of Funds'!$K$40/12,12,B26/12,'Part II-Sources of Funds'!$I$40))</f>
        <v>877567.66420914349</v>
      </c>
      <c r="C40" s="177">
        <f>IF('Part II-Sources of Funds'!$I$40="","",-FV('Part II-Sources of Funds'!$K$40/12,12,C26/12,B40))</f>
        <v>854300.39127155475</v>
      </c>
      <c r="D40" s="177">
        <f>IF('Part II-Sources of Funds'!$I$40="","",-FV('Part II-Sources of Funds'!$K$40/12,12,D26/12,C40))</f>
        <v>830167.10461787891</v>
      </c>
      <c r="E40" s="177">
        <f>IF('Part II-Sources of Funds'!$I$40="","",-FV('Part II-Sources of Funds'!$K$40/12,12,E26/12,D40))</f>
        <v>805135.5710010801</v>
      </c>
      <c r="F40" s="177">
        <f>IF('Part II-Sources of Funds'!$I$40="","",-FV('Part II-Sources of Funds'!$K$40/12,12,F26/12,E40))</f>
        <v>779172.35744460847</v>
      </c>
      <c r="G40" s="177">
        <f>IF('Part II-Sources of Funds'!$I$40="","",-FV('Part II-Sources of Funds'!$K$40/12,12,G26/12,F40))</f>
        <v>752242.78658816824</v>
      </c>
      <c r="H40" s="177">
        <f>IF('Part II-Sources of Funds'!$I$40="","",-FV('Part II-Sources of Funds'!$K$40/12,12,H26/12,G40))</f>
        <v>724310.89037144312</v>
      </c>
      <c r="I40" s="177">
        <f>IF('Part II-Sources of Funds'!$I$40="","",-FV('Part II-Sources of Funds'!$K$40/12,12,I26/12,H40))</f>
        <v>695339.36199391901</v>
      </c>
      <c r="J40" s="177">
        <f>IF('Part II-Sources of Funds'!$I$40="","",-FV('Part II-Sources of Funds'!$K$40/12,12,J26/12,I40))</f>
        <v>665289.50608663925</v>
      </c>
      <c r="K40" s="177">
        <f>IF('Part II-Sources of Funds'!$I$40="","",-FV('Part II-Sources of Funds'!$K$40/12,12,K26/12,J40))</f>
        <v>634121.18702933972</v>
      </c>
      <c r="N40" s="3561"/>
      <c r="O40" s="3563"/>
      <c r="Q40" s="92">
        <v>20</v>
      </c>
      <c r="R40" s="869">
        <f>-SUM(B32:K32) - SUM(B64:K64)</f>
        <v>5590</v>
      </c>
      <c r="S40" s="869">
        <f>SUM(B33:K33) + SUM(B65:K65)+R40</f>
        <v>154450.36644551484</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1"/>
      <c r="O43" s="3563"/>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4"/>
      <c r="O44" s="3576"/>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8" t="s">
        <v>2409</v>
      </c>
      <c r="O46" s="3198"/>
      <c r="AA46" s="1721">
        <v>46</v>
      </c>
    </row>
    <row r="47" spans="1:27" ht="13.35" customHeight="1">
      <c r="A47" s="14" t="s">
        <v>2215</v>
      </c>
      <c r="B47" s="15">
        <f t="shared" ref="B47:K47" si="17">$B$15*(1+$B$6)^(B46-1)</f>
        <v>396855.8233734931</v>
      </c>
      <c r="C47" s="15">
        <f t="shared" si="17"/>
        <v>404792.93984096294</v>
      </c>
      <c r="D47" s="15">
        <f t="shared" si="17"/>
        <v>412888.79863778222</v>
      </c>
      <c r="E47" s="15">
        <f t="shared" si="17"/>
        <v>421146.57461053785</v>
      </c>
      <c r="F47" s="15">
        <f t="shared" si="17"/>
        <v>429569.50610274868</v>
      </c>
      <c r="G47" s="15">
        <f t="shared" si="17"/>
        <v>438160.89622480352</v>
      </c>
      <c r="H47" s="15">
        <f t="shared" si="17"/>
        <v>446924.11414929968</v>
      </c>
      <c r="I47" s="15">
        <f t="shared" si="17"/>
        <v>455862.59643228567</v>
      </c>
      <c r="J47" s="15">
        <f t="shared" si="17"/>
        <v>464979.84836093133</v>
      </c>
      <c r="K47" s="16">
        <f t="shared" si="17"/>
        <v>474279.44532814994</v>
      </c>
      <c r="N47" s="3564"/>
      <c r="O47" s="3566"/>
      <c r="Z47" s="1719" t="s">
        <v>6461</v>
      </c>
      <c r="AA47" s="1721">
        <v>47</v>
      </c>
    </row>
    <row r="48" spans="1:27" ht="13.35" customHeight="1">
      <c r="A48" s="17" t="s">
        <v>952</v>
      </c>
      <c r="B48" s="18">
        <f t="shared" ref="B48:K48" si="18">$B$16*(1+$B$6)^(B46-1)</f>
        <v>7937.1164674698621</v>
      </c>
      <c r="C48" s="18">
        <f t="shared" si="18"/>
        <v>8095.8587968192578</v>
      </c>
      <c r="D48" s="18">
        <f t="shared" si="18"/>
        <v>8257.775972755644</v>
      </c>
      <c r="E48" s="18">
        <f t="shared" si="18"/>
        <v>8422.9314922107569</v>
      </c>
      <c r="F48" s="18">
        <f t="shared" si="18"/>
        <v>8591.3901220549724</v>
      </c>
      <c r="G48" s="18">
        <f t="shared" si="18"/>
        <v>8763.2179244960698</v>
      </c>
      <c r="H48" s="18">
        <f t="shared" si="18"/>
        <v>8938.4822829859932</v>
      </c>
      <c r="I48" s="18">
        <f t="shared" si="18"/>
        <v>9117.2519286457136</v>
      </c>
      <c r="J48" s="18">
        <f t="shared" si="18"/>
        <v>9299.5969672186275</v>
      </c>
      <c r="K48" s="19">
        <f t="shared" si="18"/>
        <v>9485.5889065629981</v>
      </c>
      <c r="N48" s="3561"/>
      <c r="O48" s="3563"/>
      <c r="Z48" s="1719" t="s">
        <v>6461</v>
      </c>
      <c r="AA48" s="1721">
        <v>48</v>
      </c>
    </row>
    <row r="49" spans="1:27" ht="13.35" customHeight="1">
      <c r="A49" s="17" t="s">
        <v>2216</v>
      </c>
      <c r="B49" s="18">
        <f t="shared" ref="B49:K49" si="19">-(B47+B48)*$B$9</f>
        <v>-28335.505788867409</v>
      </c>
      <c r="C49" s="18">
        <f t="shared" si="19"/>
        <v>-28902.215904644756</v>
      </c>
      <c r="D49" s="18">
        <f t="shared" si="19"/>
        <v>-29480.260222737652</v>
      </c>
      <c r="E49" s="18">
        <f t="shared" si="19"/>
        <v>-30069.865427192406</v>
      </c>
      <c r="F49" s="18">
        <f t="shared" si="19"/>
        <v>-30671.262735736258</v>
      </c>
      <c r="G49" s="18">
        <f t="shared" si="19"/>
        <v>-31284.687990450973</v>
      </c>
      <c r="H49" s="18">
        <f t="shared" si="19"/>
        <v>-31910.38175026</v>
      </c>
      <c r="I49" s="18">
        <f t="shared" si="19"/>
        <v>-32548.589385265201</v>
      </c>
      <c r="J49" s="18">
        <f t="shared" si="19"/>
        <v>-33199.561172970498</v>
      </c>
      <c r="K49" s="19">
        <f t="shared" si="19"/>
        <v>-33863.552396429906</v>
      </c>
      <c r="N49" s="3561"/>
      <c r="O49" s="3563"/>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6461</v>
      </c>
      <c r="AA51" s="1721">
        <v>51</v>
      </c>
    </row>
    <row r="52" spans="1:27" ht="13.35" customHeight="1">
      <c r="A52" s="341" t="s">
        <v>3837</v>
      </c>
      <c r="B52" s="18">
        <f t="shared" ref="B52:K52" si="20">SUM(B47:B51)</f>
        <v>376457.43405209552</v>
      </c>
      <c r="C52" s="18">
        <f t="shared" si="20"/>
        <v>383986.58273313742</v>
      </c>
      <c r="D52" s="18">
        <f t="shared" si="20"/>
        <v>391666.31438780017</v>
      </c>
      <c r="E52" s="18">
        <f t="shared" si="20"/>
        <v>399499.64067555621</v>
      </c>
      <c r="F52" s="18">
        <f t="shared" si="20"/>
        <v>407489.63348906738</v>
      </c>
      <c r="G52" s="18">
        <f t="shared" si="20"/>
        <v>415639.42615884857</v>
      </c>
      <c r="H52" s="18">
        <f t="shared" si="20"/>
        <v>423952.21468202566</v>
      </c>
      <c r="I52" s="18">
        <f t="shared" si="20"/>
        <v>432431.25897566619</v>
      </c>
      <c r="J52" s="18">
        <f t="shared" si="20"/>
        <v>441079.88415517943</v>
      </c>
      <c r="K52" s="19">
        <f t="shared" si="20"/>
        <v>449901.48183828301</v>
      </c>
      <c r="N52" s="3561"/>
      <c r="O52" s="3563"/>
      <c r="Z52" s="1719" t="s">
        <v>6461</v>
      </c>
      <c r="AA52" s="1721">
        <v>52</v>
      </c>
    </row>
    <row r="53" spans="1:27" ht="13.35" customHeight="1">
      <c r="A53" s="17" t="s">
        <v>572</v>
      </c>
      <c r="B53" s="18">
        <f t="shared" ref="B53:K53" si="21">$B$21*(1+$B$7)^(B46-1)</f>
        <v>-261942.74149796276</v>
      </c>
      <c r="C53" s="18">
        <f t="shared" si="21"/>
        <v>-269801.02374290169</v>
      </c>
      <c r="D53" s="18">
        <f t="shared" si="21"/>
        <v>-277895.05445518869</v>
      </c>
      <c r="E53" s="18">
        <f t="shared" si="21"/>
        <v>-286231.90608884435</v>
      </c>
      <c r="F53" s="18">
        <f t="shared" si="21"/>
        <v>-294818.8632715097</v>
      </c>
      <c r="G53" s="18">
        <f t="shared" si="21"/>
        <v>-303663.42916965502</v>
      </c>
      <c r="H53" s="18">
        <f t="shared" si="21"/>
        <v>-312773.33204474457</v>
      </c>
      <c r="I53" s="18">
        <f t="shared" si="21"/>
        <v>-322156.5320060869</v>
      </c>
      <c r="J53" s="18">
        <f t="shared" si="21"/>
        <v>-331821.22796626954</v>
      </c>
      <c r="K53" s="19">
        <f t="shared" si="21"/>
        <v>-341775.86480525759</v>
      </c>
      <c r="N53" s="3561"/>
      <c r="O53" s="3563"/>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-29803</v>
      </c>
      <c r="C54" s="18">
        <f>IF(AND('Part VI-Pro Forma'!$G$9="Yes",'Part VI-Pro Forma'!$G$10="Yes"),"Choose One!",IF('Part VI-Pro Forma'!$G$9="Yes",ROUND((-$K$9*(1+'Part VI-Pro Forma'!$B$7)^('Part VI-Pro Forma'!C46-1)),),IF('Part VI-Pro Forma'!$G$10="Yes",ROUND((-(SUM(C47:C50)*'Part VI-Pro Forma'!$K$10)),),"Choose mgt fee")))</f>
        <v>-30697</v>
      </c>
      <c r="D54" s="18">
        <f>IF(AND('Part VI-Pro Forma'!$G$9="Yes",'Part VI-Pro Forma'!$G$10="Yes"),"Choose One!",IF('Part VI-Pro Forma'!$G$9="Yes",ROUND((-$K$9*(1+'Part VI-Pro Forma'!$B$7)^('Part VI-Pro Forma'!D46-1)),),IF('Part VI-Pro Forma'!$G$10="Yes",ROUND((-(SUM(D47:D50)*'Part VI-Pro Forma'!$K$10)),),"Choose mgt fee")))</f>
        <v>-31618</v>
      </c>
      <c r="E54" s="18">
        <f>IF(AND('Part VI-Pro Forma'!$G$9="Yes",'Part VI-Pro Forma'!$G$10="Yes"),"Choose One!",IF('Part VI-Pro Forma'!$G$9="Yes",ROUND((-$K$9*(1+'Part VI-Pro Forma'!$B$7)^('Part VI-Pro Forma'!E46-1)),),IF('Part VI-Pro Forma'!$G$10="Yes",ROUND((-(SUM(E47:E50)*'Part VI-Pro Forma'!$K$10)),),"Choose mgt fee")))</f>
        <v>-32566</v>
      </c>
      <c r="F54" s="18">
        <f>IF(AND('Part VI-Pro Forma'!$G$9="Yes",'Part VI-Pro Forma'!$G$10="Yes"),"Choose One!",IF('Part VI-Pro Forma'!$G$9="Yes",ROUND((-$K$9*(1+'Part VI-Pro Forma'!$B$7)^('Part VI-Pro Forma'!F46-1)),),IF('Part VI-Pro Forma'!$G$10="Yes",ROUND((-(SUM(F47:F50)*'Part VI-Pro Forma'!$K$10)),),"Choose mgt fee")))</f>
        <v>-33543</v>
      </c>
      <c r="G54" s="18">
        <f>IF(AND('Part VI-Pro Forma'!$G$9="Yes",'Part VI-Pro Forma'!$G$10="Yes"),"Choose One!",IF('Part VI-Pro Forma'!$G$9="Yes",ROUND((-$K$9*(1+'Part VI-Pro Forma'!$B$7)^('Part VI-Pro Forma'!G46-1)),),IF('Part VI-Pro Forma'!$G$10="Yes",ROUND((-(SUM(G47:G50)*'Part VI-Pro Forma'!$K$10)),),"Choose mgt fee")))</f>
        <v>-34549</v>
      </c>
      <c r="H54" s="18">
        <f>IF(AND('Part VI-Pro Forma'!$G$9="Yes",'Part VI-Pro Forma'!$G$10="Yes"),"Choose One!",IF('Part VI-Pro Forma'!$G$9="Yes",ROUND((-$K$9*(1+'Part VI-Pro Forma'!$B$7)^('Part VI-Pro Forma'!H46-1)),),IF('Part VI-Pro Forma'!$G$10="Yes",ROUND((-(SUM(H47:H50)*'Part VI-Pro Forma'!$K$10)),),"Choose mgt fee")))</f>
        <v>-35586</v>
      </c>
      <c r="I54" s="18">
        <f>IF(AND('Part VI-Pro Forma'!$G$9="Yes",'Part VI-Pro Forma'!$G$10="Yes"),"Choose One!",IF('Part VI-Pro Forma'!$G$9="Yes",ROUND((-$K$9*(1+'Part VI-Pro Forma'!$B$7)^('Part VI-Pro Forma'!I46-1)),),IF('Part VI-Pro Forma'!$G$10="Yes",ROUND((-(SUM(I47:I50)*'Part VI-Pro Forma'!$K$10)),),"Choose mgt fee")))</f>
        <v>-36654</v>
      </c>
      <c r="J54" s="18">
        <f>IF(AND('Part VI-Pro Forma'!$G$9="Yes",'Part VI-Pro Forma'!$G$10="Yes"),"Choose One!",IF('Part VI-Pro Forma'!$G$9="Yes",ROUND((-$K$9*(1+'Part VI-Pro Forma'!$B$7)^('Part VI-Pro Forma'!J46-1)),),IF('Part VI-Pro Forma'!$G$10="Yes",ROUND((-(SUM(J47:J50)*'Part VI-Pro Forma'!$K$10)),),"Choose mgt fee")))</f>
        <v>-37753</v>
      </c>
      <c r="K54" s="19">
        <f>IF(AND('Part VI-Pro Forma'!$G$9="Yes",'Part VI-Pro Forma'!$G$10="Yes"),"Choose One!",IF('Part VI-Pro Forma'!$G$9="Yes",ROUND((-$K$9*(1+'Part VI-Pro Forma'!$B$7)^('Part VI-Pro Forma'!K46-1)),),IF('Part VI-Pro Forma'!$G$10="Yes",ROUND((-(SUM(K47:K50)*'Part VI-Pro Forma'!$K$10)),),"Choose mgt fee")))</f>
        <v>-38886</v>
      </c>
      <c r="N54" s="3561"/>
      <c r="O54" s="3563"/>
      <c r="Z54" s="1719" t="s">
        <v>6461</v>
      </c>
      <c r="AA54" s="1721">
        <v>54</v>
      </c>
    </row>
    <row r="55" spans="1:27" ht="13.35" customHeight="1">
      <c r="A55" s="17" t="s">
        <v>1128</v>
      </c>
      <c r="B55" s="18">
        <f t="shared" ref="B55:K55" si="22">$B$23*(1+$B$8)^(B46-1)</f>
        <v>-14783.08017278534</v>
      </c>
      <c r="C55" s="18">
        <f t="shared" si="22"/>
        <v>-15226.5725779689</v>
      </c>
      <c r="D55" s="18">
        <f t="shared" si="22"/>
        <v>-15683.369755307966</v>
      </c>
      <c r="E55" s="18">
        <f t="shared" si="22"/>
        <v>-16153.870847967202</v>
      </c>
      <c r="F55" s="18">
        <f t="shared" si="22"/>
        <v>-16638.486973406219</v>
      </c>
      <c r="G55" s="18">
        <f t="shared" si="22"/>
        <v>-17137.641582608408</v>
      </c>
      <c r="H55" s="18">
        <f t="shared" si="22"/>
        <v>-17651.770830086658</v>
      </c>
      <c r="I55" s="18">
        <f t="shared" si="22"/>
        <v>-18181.323954989257</v>
      </c>
      <c r="J55" s="18">
        <f t="shared" si="22"/>
        <v>-18726.763673638936</v>
      </c>
      <c r="K55" s="19">
        <f t="shared" si="22"/>
        <v>-19288.566583848104</v>
      </c>
      <c r="N55" s="3561"/>
      <c r="O55" s="3563"/>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1"/>
      <c r="O56" s="3563"/>
      <c r="Z56" s="1719" t="s">
        <v>6461</v>
      </c>
      <c r="AA56" s="1721">
        <v>56</v>
      </c>
    </row>
    <row r="57" spans="1:27" ht="13.35" customHeight="1">
      <c r="A57" s="17" t="s">
        <v>1129</v>
      </c>
      <c r="B57" s="18">
        <f t="shared" ref="B57:K57" si="23">SUM(B52:B56)</f>
        <v>69928.612381347411</v>
      </c>
      <c r="C57" s="18">
        <f t="shared" si="23"/>
        <v>68261.986412266837</v>
      </c>
      <c r="D57" s="18">
        <f t="shared" si="23"/>
        <v>66469.890177303518</v>
      </c>
      <c r="E57" s="18">
        <f t="shared" si="23"/>
        <v>64547.863738744651</v>
      </c>
      <c r="F57" s="18">
        <f t="shared" si="23"/>
        <v>62489.283244151447</v>
      </c>
      <c r="G57" s="18">
        <f t="shared" si="23"/>
        <v>60289.355406585135</v>
      </c>
      <c r="H57" s="18">
        <f t="shared" si="23"/>
        <v>57941.111807194429</v>
      </c>
      <c r="I57" s="18">
        <f t="shared" si="23"/>
        <v>55439.403014590032</v>
      </c>
      <c r="J57" s="18">
        <f t="shared" si="23"/>
        <v>52778.892515270956</v>
      </c>
      <c r="K57" s="1215">
        <f t="shared" si="23"/>
        <v>49951.050449177317</v>
      </c>
      <c r="N57" s="3561"/>
      <c r="O57" s="3563"/>
      <c r="Z57" s="1719" t="s">
        <v>6461</v>
      </c>
      <c r="AA57" s="1721">
        <v>57</v>
      </c>
    </row>
    <row r="58" spans="1:27" ht="13.35" customHeight="1">
      <c r="A58" s="17" t="str">
        <f>$A26</f>
        <v>Mortgage A</v>
      </c>
      <c r="B58" s="3010">
        <f>12*PMT(0.0664/12,300,K40)</f>
        <v>-52047.243378441242</v>
      </c>
      <c r="C58" s="3010">
        <f t="shared" ref="C58:K58" si="24">+B58</f>
        <v>-52047.243378441242</v>
      </c>
      <c r="D58" s="3010">
        <f t="shared" si="24"/>
        <v>-52047.243378441242</v>
      </c>
      <c r="E58" s="3010">
        <f t="shared" si="24"/>
        <v>-52047.243378441242</v>
      </c>
      <c r="F58" s="3010">
        <f t="shared" si="24"/>
        <v>-52047.243378441242</v>
      </c>
      <c r="G58" s="3010">
        <f t="shared" si="24"/>
        <v>-52047.243378441242</v>
      </c>
      <c r="H58" s="3010">
        <f t="shared" si="24"/>
        <v>-52047.243378441242</v>
      </c>
      <c r="I58" s="3010">
        <f t="shared" si="24"/>
        <v>-52047.243378441242</v>
      </c>
      <c r="J58" s="3010">
        <f t="shared" si="24"/>
        <v>-52047.243378441242</v>
      </c>
      <c r="K58" s="3010">
        <f t="shared" si="24"/>
        <v>-52047.243378441242</v>
      </c>
      <c r="N58" s="3561"/>
      <c r="O58" s="3563"/>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9" t="s">
        <v>6461</v>
      </c>
      <c r="AA61" s="1721">
        <v>61</v>
      </c>
    </row>
    <row r="62" spans="1:27" ht="13.35" customHeight="1">
      <c r="A62" s="17" t="s">
        <v>711</v>
      </c>
      <c r="B62" s="138"/>
      <c r="C62" s="138"/>
      <c r="D62" s="138"/>
      <c r="E62" s="138"/>
      <c r="F62" s="138"/>
      <c r="G62" s="138"/>
      <c r="H62" s="138"/>
      <c r="I62" s="138"/>
      <c r="J62" s="138"/>
      <c r="K62" s="138"/>
      <c r="N62" s="3561"/>
      <c r="O62" s="3563"/>
      <c r="Q62" s="92"/>
      <c r="R62" s="869"/>
      <c r="Z62" s="1719" t="s">
        <v>6461</v>
      </c>
      <c r="AA62" s="1721">
        <v>62</v>
      </c>
    </row>
    <row r="63" spans="1:27" ht="13.35" customHeight="1">
      <c r="A63" s="341" t="s">
        <v>1095</v>
      </c>
      <c r="B63" s="178">
        <f>+K31</f>
        <v>-7500</v>
      </c>
      <c r="C63" s="178">
        <f t="shared" ref="C63:K63" si="25">+B63</f>
        <v>-7500</v>
      </c>
      <c r="D63" s="178">
        <f t="shared" si="25"/>
        <v>-7500</v>
      </c>
      <c r="E63" s="178">
        <f t="shared" si="25"/>
        <v>-7500</v>
      </c>
      <c r="F63" s="178">
        <f t="shared" si="25"/>
        <v>-7500</v>
      </c>
      <c r="G63" s="178">
        <f t="shared" si="25"/>
        <v>-7500</v>
      </c>
      <c r="H63" s="178">
        <f t="shared" si="25"/>
        <v>-7500</v>
      </c>
      <c r="I63" s="178">
        <f t="shared" si="25"/>
        <v>-7500</v>
      </c>
      <c r="J63" s="178">
        <f t="shared" si="25"/>
        <v>-7500</v>
      </c>
      <c r="K63" s="178">
        <f t="shared" si="25"/>
        <v>-7500</v>
      </c>
      <c r="N63" s="3561"/>
      <c r="O63" s="3563"/>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6461</v>
      </c>
      <c r="AA64" s="1721">
        <v>64</v>
      </c>
    </row>
    <row r="65" spans="1:27" ht="13.35" customHeight="1">
      <c r="A65" s="17" t="s">
        <v>1096</v>
      </c>
      <c r="B65" s="18">
        <f t="shared" ref="B65:K65" si="26">SUM(B57:B64)</f>
        <v>10381.369002906169</v>
      </c>
      <c r="C65" s="18">
        <f t="shared" si="26"/>
        <v>8714.7430338255945</v>
      </c>
      <c r="D65" s="18">
        <f t="shared" si="26"/>
        <v>6922.6467988622753</v>
      </c>
      <c r="E65" s="18">
        <f t="shared" si="26"/>
        <v>5000.6203603034082</v>
      </c>
      <c r="F65" s="18">
        <f t="shared" si="26"/>
        <v>2942.039865710205</v>
      </c>
      <c r="G65" s="18">
        <f t="shared" si="26"/>
        <v>742.11202814389253</v>
      </c>
      <c r="H65" s="18">
        <f t="shared" si="26"/>
        <v>-1606.1315712468131</v>
      </c>
      <c r="I65" s="18">
        <f t="shared" si="26"/>
        <v>-4107.84036385121</v>
      </c>
      <c r="J65" s="18">
        <f t="shared" si="26"/>
        <v>-6768.3508631702862</v>
      </c>
      <c r="K65" s="497">
        <f t="shared" si="26"/>
        <v>-9596.1929292639252</v>
      </c>
      <c r="N65" s="3561"/>
      <c r="O65" s="3563"/>
      <c r="Z65" s="1719" t="s">
        <v>6461</v>
      </c>
      <c r="AA65" s="1721">
        <v>65</v>
      </c>
    </row>
    <row r="66" spans="1:27" ht="13.35" customHeight="1">
      <c r="A66" s="17" t="str">
        <f>$A34</f>
        <v>DCR Mortgage A</v>
      </c>
      <c r="B66" s="20">
        <f t="shared" ref="B66:K66" si="27">IF(B58=0,"",-B57/B58)</f>
        <v>1.3435603471424753</v>
      </c>
      <c r="C66" s="20">
        <f t="shared" si="27"/>
        <v>1.3115389400342763</v>
      </c>
      <c r="D66" s="20">
        <f t="shared" si="27"/>
        <v>1.277106833382003</v>
      </c>
      <c r="E66" s="20">
        <f t="shared" si="27"/>
        <v>1.2401783370045176</v>
      </c>
      <c r="F66" s="20">
        <f t="shared" si="27"/>
        <v>1.2006261847488249</v>
      </c>
      <c r="G66" s="20">
        <f t="shared" si="27"/>
        <v>1.1583582816906284</v>
      </c>
      <c r="H66" s="20">
        <f t="shared" si="27"/>
        <v>1.1132407414144534</v>
      </c>
      <c r="I66" s="20">
        <f t="shared" si="27"/>
        <v>1.0651746262810506</v>
      </c>
      <c r="J66" s="20">
        <f t="shared" si="27"/>
        <v>1.0140574041839221</v>
      </c>
      <c r="K66" s="21">
        <f t="shared" si="27"/>
        <v>0.95972518824825603</v>
      </c>
      <c r="N66" s="3561"/>
      <c r="O66" s="3563"/>
      <c r="Z66" s="1719" t="s">
        <v>6461</v>
      </c>
      <c r="AA66" s="1721">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61"/>
      <c r="O67" s="3563"/>
      <c r="Z67" s="1719" t="s">
        <v>6461</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61"/>
      <c r="O68" s="3563"/>
      <c r="Z68" s="1719" t="s">
        <v>6461</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61"/>
      <c r="O69" s="3563"/>
      <c r="Z69" s="1719" t="s">
        <v>6461</v>
      </c>
      <c r="AA69" s="1721">
        <v>69</v>
      </c>
    </row>
    <row r="70" spans="1:27" ht="13.35" customHeight="1">
      <c r="A70" s="341" t="s">
        <v>3213</v>
      </c>
      <c r="B70" s="20">
        <f t="shared" ref="B70:K70" si="31">IF(AND(B58=0,B59=0,B60=0,B61=0),"",-B57/(B58+B59+B60+B61))</f>
        <v>1.3435603471424753</v>
      </c>
      <c r="C70" s="20">
        <f t="shared" si="31"/>
        <v>1.3115389400342763</v>
      </c>
      <c r="D70" s="20">
        <f t="shared" si="31"/>
        <v>1.277106833382003</v>
      </c>
      <c r="E70" s="20">
        <f t="shared" si="31"/>
        <v>1.2401783370045176</v>
      </c>
      <c r="F70" s="20">
        <f t="shared" si="31"/>
        <v>1.2006261847488249</v>
      </c>
      <c r="G70" s="20">
        <f t="shared" si="31"/>
        <v>1.1583582816906284</v>
      </c>
      <c r="H70" s="20">
        <f t="shared" si="31"/>
        <v>1.1132407414144534</v>
      </c>
      <c r="I70" s="20">
        <f t="shared" si="31"/>
        <v>1.0651746262810506</v>
      </c>
      <c r="J70" s="20">
        <f t="shared" si="31"/>
        <v>1.0140574041839221</v>
      </c>
      <c r="K70" s="21">
        <f t="shared" si="31"/>
        <v>0.95972518824825603</v>
      </c>
      <c r="N70" s="3561"/>
      <c r="O70" s="3563"/>
      <c r="Z70" s="1719" t="s">
        <v>6461</v>
      </c>
      <c r="AA70" s="1721">
        <v>70</v>
      </c>
    </row>
    <row r="71" spans="1:27" ht="13.35" customHeight="1">
      <c r="A71" s="17" t="s">
        <v>718</v>
      </c>
      <c r="B71" s="220">
        <f t="shared" ref="B71:K71" si="32">IF(OR(B54="Choose mgt fee",B54="Choose One!"),"",(B47+B48+B49+B50+B51) / -(B53+B54+B55))</f>
        <v>1.2281306273263266</v>
      </c>
      <c r="C71" s="220">
        <f t="shared" si="32"/>
        <v>1.2162073756929987</v>
      </c>
      <c r="D71" s="220">
        <f t="shared" si="32"/>
        <v>1.2043992037694675</v>
      </c>
      <c r="E71" s="220">
        <f t="shared" si="32"/>
        <v>1.1927079304640367</v>
      </c>
      <c r="F71" s="220">
        <f t="shared" si="32"/>
        <v>1.181128173347622</v>
      </c>
      <c r="G71" s="220">
        <f t="shared" si="32"/>
        <v>1.1696618640850549</v>
      </c>
      <c r="H71" s="220">
        <f t="shared" si="32"/>
        <v>1.1583042463796764</v>
      </c>
      <c r="I71" s="220">
        <f t="shared" si="32"/>
        <v>1.1470572961669339</v>
      </c>
      <c r="J71" s="220">
        <f t="shared" si="32"/>
        <v>1.135922631287575</v>
      </c>
      <c r="K71" s="221">
        <f t="shared" si="32"/>
        <v>1.1248931030670166</v>
      </c>
      <c r="N71" s="3561"/>
      <c r="O71" s="3563"/>
      <c r="Z71" s="1719" t="s">
        <v>6461</v>
      </c>
      <c r="AA71" s="1721">
        <v>71</v>
      </c>
    </row>
    <row r="72" spans="1:27" ht="13.35" customHeight="1">
      <c r="A72" s="341" t="s">
        <v>2405</v>
      </c>
      <c r="B72" s="3009">
        <f>IF($K$40="","",-FV(0.0664/12,12,B58/12,K40))</f>
        <v>623871.38397576881</v>
      </c>
      <c r="C72" s="3009">
        <f t="shared" ref="C72:K72" si="33">IF($K$40="","",-FV(0.0664/12,12,C58/12,B72))</f>
        <v>612919.8946410045</v>
      </c>
      <c r="D72" s="3009">
        <f t="shared" si="33"/>
        <v>601218.6826252602</v>
      </c>
      <c r="E72" s="3009">
        <f t="shared" si="33"/>
        <v>588716.4230282238</v>
      </c>
      <c r="F72" s="3009">
        <f t="shared" si="33"/>
        <v>575358.2773231999</v>
      </c>
      <c r="G72" s="3009">
        <f t="shared" si="33"/>
        <v>561085.6528194705</v>
      </c>
      <c r="H72" s="3009">
        <f t="shared" si="33"/>
        <v>545835.94565780624</v>
      </c>
      <c r="I72" s="3009">
        <f t="shared" si="33"/>
        <v>529542.26621183264</v>
      </c>
      <c r="J72" s="3009">
        <f t="shared" si="33"/>
        <v>512133.14569078211</v>
      </c>
      <c r="K72" s="3009">
        <f t="shared" si="33"/>
        <v>493532.22265670588</v>
      </c>
      <c r="N72" s="3561"/>
      <c r="O72" s="3563"/>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1"/>
      <c r="O75" s="3563"/>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4"/>
      <c r="O76" s="3576"/>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198" t="s">
        <v>2410</v>
      </c>
      <c r="O78" s="3198"/>
      <c r="AA78" s="1721">
        <v>78</v>
      </c>
    </row>
    <row r="79" spans="1:27" ht="13.35" customHeight="1">
      <c r="A79" s="14" t="s">
        <v>2215</v>
      </c>
      <c r="B79" s="15">
        <f t="shared" ref="B79:K79" si="35">$B$15*(1+$B$6)^(B78-1)</f>
        <v>483765.03423471301</v>
      </c>
      <c r="C79" s="15">
        <f t="shared" si="35"/>
        <v>493440.33491940721</v>
      </c>
      <c r="D79" s="15">
        <f t="shared" si="35"/>
        <v>503309.14161779539</v>
      </c>
      <c r="E79" s="15">
        <f t="shared" si="35"/>
        <v>513375.32445015124</v>
      </c>
      <c r="F79" s="15">
        <f t="shared" si="35"/>
        <v>523642.83093915426</v>
      </c>
      <c r="G79" s="15">
        <f t="shared" si="35"/>
        <v>534115.68755793734</v>
      </c>
      <c r="H79" s="15">
        <f t="shared" si="35"/>
        <v>544798.00130909611</v>
      </c>
      <c r="I79" s="15">
        <f t="shared" si="35"/>
        <v>555693.961335278</v>
      </c>
      <c r="J79" s="15">
        <f t="shared" si="35"/>
        <v>566807.84056198364</v>
      </c>
      <c r="K79" s="16">
        <f t="shared" si="35"/>
        <v>578143.99737322319</v>
      </c>
      <c r="N79" s="3564"/>
      <c r="O79" s="3566"/>
      <c r="Z79" s="1719" t="s">
        <v>6462</v>
      </c>
      <c r="AA79" s="1721">
        <v>79</v>
      </c>
    </row>
    <row r="80" spans="1:27" ht="13.35" customHeight="1">
      <c r="A80" s="17" t="s">
        <v>952</v>
      </c>
      <c r="B80" s="18">
        <f t="shared" ref="B80:K80" si="36">$B$16*(1+$B$6)^(B78-1)</f>
        <v>9675.300684694259</v>
      </c>
      <c r="C80" s="18">
        <f t="shared" si="36"/>
        <v>9868.8066983881436</v>
      </c>
      <c r="D80" s="18">
        <f t="shared" si="36"/>
        <v>10066.182832355908</v>
      </c>
      <c r="E80" s="18">
        <f t="shared" si="36"/>
        <v>10267.506489003024</v>
      </c>
      <c r="F80" s="18">
        <f t="shared" si="36"/>
        <v>10472.856618783086</v>
      </c>
      <c r="G80" s="18">
        <f t="shared" si="36"/>
        <v>10682.313751158747</v>
      </c>
      <c r="H80" s="18">
        <f t="shared" si="36"/>
        <v>10895.960026181923</v>
      </c>
      <c r="I80" s="18">
        <f t="shared" si="36"/>
        <v>11113.87922670556</v>
      </c>
      <c r="J80" s="18">
        <f t="shared" si="36"/>
        <v>11336.156811239673</v>
      </c>
      <c r="K80" s="19">
        <f t="shared" si="36"/>
        <v>11562.879947464464</v>
      </c>
      <c r="N80" s="3561"/>
      <c r="O80" s="3563"/>
      <c r="Z80" s="1719" t="s">
        <v>6462</v>
      </c>
      <c r="AA80" s="1721">
        <v>80</v>
      </c>
    </row>
    <row r="81" spans="1:27" ht="13.35" customHeight="1">
      <c r="A81" s="17" t="s">
        <v>2216</v>
      </c>
      <c r="B81" s="18">
        <f t="shared" ref="B81:K81" si="37">-(B79+B80)*$B$9</f>
        <v>-34540.82344435851</v>
      </c>
      <c r="C81" s="18">
        <f t="shared" si="37"/>
        <v>-35231.639913245679</v>
      </c>
      <c r="D81" s="18">
        <f t="shared" si="37"/>
        <v>-35936.272711510595</v>
      </c>
      <c r="E81" s="18">
        <f t="shared" si="37"/>
        <v>-36654.998165740799</v>
      </c>
      <c r="F81" s="18">
        <f t="shared" si="37"/>
        <v>-37388.098129055616</v>
      </c>
      <c r="G81" s="18">
        <f t="shared" si="37"/>
        <v>-38135.860091636729</v>
      </c>
      <c r="H81" s="18">
        <f t="shared" si="37"/>
        <v>-38898.577293469461</v>
      </c>
      <c r="I81" s="18">
        <f t="shared" si="37"/>
        <v>-39676.548839338851</v>
      </c>
      <c r="J81" s="18">
        <f t="shared" si="37"/>
        <v>-40470.079816125632</v>
      </c>
      <c r="K81" s="19">
        <f t="shared" si="37"/>
        <v>-41279.481412448142</v>
      </c>
      <c r="N81" s="3561"/>
      <c r="O81" s="3563"/>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6462</v>
      </c>
      <c r="AA83" s="1721">
        <v>83</v>
      </c>
    </row>
    <row r="84" spans="1:27" ht="13.35" customHeight="1">
      <c r="A84" s="341" t="s">
        <v>3837</v>
      </c>
      <c r="B84" s="18">
        <f t="shared" ref="B84:K84" si="38">SUM(B79:B83)</f>
        <v>458899.51147504873</v>
      </c>
      <c r="C84" s="18">
        <f t="shared" si="38"/>
        <v>468077.50170454965</v>
      </c>
      <c r="D84" s="18">
        <f t="shared" si="38"/>
        <v>477439.0517386407</v>
      </c>
      <c r="E84" s="18">
        <f t="shared" si="38"/>
        <v>486987.83277341345</v>
      </c>
      <c r="F84" s="18">
        <f t="shared" si="38"/>
        <v>496727.58942888171</v>
      </c>
      <c r="G84" s="18">
        <f t="shared" si="38"/>
        <v>506662.1412174594</v>
      </c>
      <c r="H84" s="18">
        <f t="shared" si="38"/>
        <v>516795.38404180855</v>
      </c>
      <c r="I84" s="18">
        <f t="shared" si="38"/>
        <v>527131.2917226447</v>
      </c>
      <c r="J84" s="18">
        <f t="shared" si="38"/>
        <v>537673.91755709762</v>
      </c>
      <c r="K84" s="19">
        <f t="shared" si="38"/>
        <v>548427.39590823953</v>
      </c>
      <c r="N84" s="3561"/>
      <c r="O84" s="3563"/>
      <c r="Z84" s="1719" t="s">
        <v>6462</v>
      </c>
      <c r="AA84" s="1721">
        <v>84</v>
      </c>
    </row>
    <row r="85" spans="1:27" ht="13.35" customHeight="1">
      <c r="A85" s="17" t="s">
        <v>572</v>
      </c>
      <c r="B85" s="18">
        <f t="shared" ref="B85:K85" si="39">$B$21*(1+$B$7)^(B78-1)</f>
        <v>-352029.14074941532</v>
      </c>
      <c r="C85" s="18">
        <f t="shared" si="39"/>
        <v>-362590.01497189776</v>
      </c>
      <c r="D85" s="18">
        <f t="shared" si="39"/>
        <v>-373467.71542105475</v>
      </c>
      <c r="E85" s="18">
        <f t="shared" si="39"/>
        <v>-384671.7468836864</v>
      </c>
      <c r="F85" s="18">
        <f t="shared" si="39"/>
        <v>-396211.89929019695</v>
      </c>
      <c r="G85" s="18">
        <f t="shared" si="39"/>
        <v>-408098.2562689028</v>
      </c>
      <c r="H85" s="18">
        <f t="shared" si="39"/>
        <v>-420341.20395696996</v>
      </c>
      <c r="I85" s="18">
        <f t="shared" si="39"/>
        <v>-432951.44007567898</v>
      </c>
      <c r="J85" s="18">
        <f t="shared" si="39"/>
        <v>-445939.98327794939</v>
      </c>
      <c r="K85" s="19">
        <f t="shared" si="39"/>
        <v>-459318.18277628784</v>
      </c>
      <c r="N85" s="3561"/>
      <c r="O85" s="3563"/>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-40052</v>
      </c>
      <c r="C86" s="18">
        <f>IF(AND('Part VI-Pro Forma'!$G$9="Yes",'Part VI-Pro Forma'!$G$10="Yes"),"Choose One!",IF('Part VI-Pro Forma'!$G$9="Yes",ROUND((-$K$9*(1+'Part VI-Pro Forma'!$B$7)^('Part VI-Pro Forma'!C78-1)),),IF('Part VI-Pro Forma'!$G$10="Yes",ROUND((-(SUM(C79:C82)*'Part VI-Pro Forma'!$K$10)),),"Choose mgt fee")))</f>
        <v>-41254</v>
      </c>
      <c r="D86" s="18">
        <f>IF(AND('Part VI-Pro Forma'!$G$9="Yes",'Part VI-Pro Forma'!$G$10="Yes"),"Choose One!",IF('Part VI-Pro Forma'!$G$9="Yes",ROUND((-$K$9*(1+'Part VI-Pro Forma'!$B$7)^('Part VI-Pro Forma'!D78-1)),),IF('Part VI-Pro Forma'!$G$10="Yes",ROUND((-(SUM(D79:D82)*'Part VI-Pro Forma'!$K$10)),),"Choose mgt fee")))</f>
        <v>-42492</v>
      </c>
      <c r="E86" s="18">
        <f>IF(AND('Part VI-Pro Forma'!$G$9="Yes",'Part VI-Pro Forma'!$G$10="Yes"),"Choose One!",IF('Part VI-Pro Forma'!$G$9="Yes",ROUND((-$K$9*(1+'Part VI-Pro Forma'!$B$7)^('Part VI-Pro Forma'!E78-1)),),IF('Part VI-Pro Forma'!$G$10="Yes",ROUND((-(SUM(E79:E82)*'Part VI-Pro Forma'!$K$10)),),"Choose mgt fee")))</f>
        <v>-43766</v>
      </c>
      <c r="F86" s="18">
        <f>IF(AND('Part VI-Pro Forma'!$G$9="Yes",'Part VI-Pro Forma'!$G$10="Yes"),"Choose One!",IF('Part VI-Pro Forma'!$G$9="Yes",ROUND((-$K$9*(1+'Part VI-Pro Forma'!$B$7)^('Part VI-Pro Forma'!F78-1)),),IF('Part VI-Pro Forma'!$G$10="Yes",ROUND((-(SUM(F79:F82)*'Part VI-Pro Forma'!$K$10)),),"Choose mgt fee")))</f>
        <v>-45079</v>
      </c>
      <c r="G86" s="18">
        <f>IF(AND('Part VI-Pro Forma'!$G$9="Yes",'Part VI-Pro Forma'!$G$10="Yes"),"Choose One!",IF('Part VI-Pro Forma'!$G$9="Yes",ROUND((-$K$9*(1+'Part VI-Pro Forma'!$B$7)^('Part VI-Pro Forma'!G78-1)),),IF('Part VI-Pro Forma'!$G$10="Yes",ROUND((-(SUM(G79:G82)*'Part VI-Pro Forma'!$K$10)),),"Choose mgt fee")))</f>
        <v>-46432</v>
      </c>
      <c r="H86" s="18">
        <f>IF(AND('Part VI-Pro Forma'!$G$9="Yes",'Part VI-Pro Forma'!$G$10="Yes"),"Choose One!",IF('Part VI-Pro Forma'!$G$9="Yes",ROUND((-$K$9*(1+'Part VI-Pro Forma'!$B$7)^('Part VI-Pro Forma'!H78-1)),),IF('Part VI-Pro Forma'!$G$10="Yes",ROUND((-(SUM(H79:H82)*'Part VI-Pro Forma'!$K$10)),),"Choose mgt fee")))</f>
        <v>-47825</v>
      </c>
      <c r="I86" s="18">
        <f>IF(AND('Part VI-Pro Forma'!$G$9="Yes",'Part VI-Pro Forma'!$G$10="Yes"),"Choose One!",IF('Part VI-Pro Forma'!$G$9="Yes",ROUND((-$K$9*(1+'Part VI-Pro Forma'!$B$7)^('Part VI-Pro Forma'!I78-1)),),IF('Part VI-Pro Forma'!$G$10="Yes",ROUND((-(SUM(I79:I82)*'Part VI-Pro Forma'!$K$10)),),"Choose mgt fee")))</f>
        <v>-49259</v>
      </c>
      <c r="J86" s="18">
        <f>IF(AND('Part VI-Pro Forma'!$G$9="Yes",'Part VI-Pro Forma'!$G$10="Yes"),"Choose One!",IF('Part VI-Pro Forma'!$G$9="Yes",ROUND((-$K$9*(1+'Part VI-Pro Forma'!$B$7)^('Part VI-Pro Forma'!J78-1)),),IF('Part VI-Pro Forma'!$G$10="Yes",ROUND((-(SUM(J79:J82)*'Part VI-Pro Forma'!$K$10)),),"Choose mgt fee")))</f>
        <v>-50737</v>
      </c>
      <c r="K86" s="19">
        <f>IF(AND('Part VI-Pro Forma'!$G$9="Yes",'Part VI-Pro Forma'!$G$10="Yes"),"Choose One!",IF('Part VI-Pro Forma'!$G$9="Yes",ROUND((-$K$9*(1+'Part VI-Pro Forma'!$B$7)^('Part VI-Pro Forma'!K78-1)),),IF('Part VI-Pro Forma'!$G$10="Yes",ROUND((-(SUM(K79:K82)*'Part VI-Pro Forma'!$K$10)),),"Choose mgt fee")))</f>
        <v>-52259</v>
      </c>
      <c r="N86" s="3561"/>
      <c r="O86" s="3563"/>
      <c r="Z86" s="1719" t="s">
        <v>6462</v>
      </c>
      <c r="AA86" s="1721">
        <v>86</v>
      </c>
    </row>
    <row r="87" spans="1:27" ht="13.35" customHeight="1">
      <c r="A87" s="17" t="s">
        <v>1128</v>
      </c>
      <c r="B87" s="18">
        <f t="shared" ref="B87:K87" si="40">$B$23*(1+$B$8)^(B78-1)</f>
        <v>-19867.223581363545</v>
      </c>
      <c r="C87" s="18">
        <f t="shared" si="40"/>
        <v>-20463.240288804449</v>
      </c>
      <c r="D87" s="18">
        <f t="shared" si="40"/>
        <v>-21077.137497468586</v>
      </c>
      <c r="E87" s="18">
        <f t="shared" si="40"/>
        <v>-21709.451622392644</v>
      </c>
      <c r="F87" s="18">
        <f t="shared" si="40"/>
        <v>-22360.735171064422</v>
      </c>
      <c r="G87" s="18">
        <f t="shared" si="40"/>
        <v>-23031.557226196353</v>
      </c>
      <c r="H87" s="18">
        <f t="shared" si="40"/>
        <v>-23722.503942982246</v>
      </c>
      <c r="I87" s="18">
        <f t="shared" si="40"/>
        <v>-24434.179061271712</v>
      </c>
      <c r="J87" s="18">
        <f t="shared" si="40"/>
        <v>-25167.204433109862</v>
      </c>
      <c r="K87" s="19">
        <f t="shared" si="40"/>
        <v>-25922.220566103155</v>
      </c>
      <c r="N87" s="3561"/>
      <c r="O87" s="3563"/>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1"/>
      <c r="O88" s="3563"/>
      <c r="Z88" s="1719" t="s">
        <v>6462</v>
      </c>
      <c r="AA88" s="1721">
        <v>88</v>
      </c>
    </row>
    <row r="89" spans="1:27" ht="13.35" customHeight="1">
      <c r="A89" s="17" t="s">
        <v>1129</v>
      </c>
      <c r="B89" s="18">
        <f t="shared" ref="B89:K89" si="41">SUM(B84:B88)</f>
        <v>46951.147144269853</v>
      </c>
      <c r="C89" s="18">
        <f t="shared" si="41"/>
        <v>43770.246443847442</v>
      </c>
      <c r="D89" s="18">
        <f t="shared" si="41"/>
        <v>40402.198820117366</v>
      </c>
      <c r="E89" s="18">
        <f t="shared" si="41"/>
        <v>36840.634267334404</v>
      </c>
      <c r="F89" s="18">
        <f t="shared" si="41"/>
        <v>33075.954967620339</v>
      </c>
      <c r="G89" s="18">
        <f t="shared" si="41"/>
        <v>29100.327722360249</v>
      </c>
      <c r="H89" s="18">
        <f t="shared" si="41"/>
        <v>24906.676141856344</v>
      </c>
      <c r="I89" s="18">
        <f t="shared" si="41"/>
        <v>20486.672585694007</v>
      </c>
      <c r="J89" s="18">
        <f t="shared" si="41"/>
        <v>15829.729846038372</v>
      </c>
      <c r="K89" s="1215">
        <f t="shared" si="41"/>
        <v>10927.992565848537</v>
      </c>
      <c r="N89" s="3561"/>
      <c r="O89" s="3563"/>
      <c r="Z89" s="1719" t="s">
        <v>6462</v>
      </c>
      <c r="AA89" s="1721">
        <v>89</v>
      </c>
    </row>
    <row r="90" spans="1:27" ht="13.35" customHeight="1">
      <c r="A90" s="17" t="str">
        <f>$A58</f>
        <v>Mortgage A</v>
      </c>
      <c r="B90" s="3010">
        <f>+K58</f>
        <v>-52047.243378441242</v>
      </c>
      <c r="C90" s="3010">
        <f t="shared" ref="C90:K90" si="42">+B90</f>
        <v>-52047.243378441242</v>
      </c>
      <c r="D90" s="3010">
        <f t="shared" si="42"/>
        <v>-52047.243378441242</v>
      </c>
      <c r="E90" s="3010">
        <f t="shared" si="42"/>
        <v>-52047.243378441242</v>
      </c>
      <c r="F90" s="3010">
        <f t="shared" si="42"/>
        <v>-52047.243378441242</v>
      </c>
      <c r="G90" s="3010">
        <f t="shared" si="42"/>
        <v>-52047.243378441242</v>
      </c>
      <c r="H90" s="3010">
        <f t="shared" si="42"/>
        <v>-52047.243378441242</v>
      </c>
      <c r="I90" s="3010">
        <f t="shared" si="42"/>
        <v>-52047.243378441242</v>
      </c>
      <c r="J90" s="3010">
        <f t="shared" si="42"/>
        <v>-52047.243378441242</v>
      </c>
      <c r="K90" s="3010">
        <f t="shared" si="42"/>
        <v>-52047.243378441242</v>
      </c>
      <c r="N90" s="3561"/>
      <c r="O90" s="3563"/>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9" t="s">
        <v>6462</v>
      </c>
      <c r="AA93" s="1721">
        <v>93</v>
      </c>
    </row>
    <row r="94" spans="1:27" ht="13.35" customHeight="1">
      <c r="A94" s="17" t="s">
        <v>711</v>
      </c>
      <c r="B94" s="138"/>
      <c r="C94" s="138"/>
      <c r="D94" s="138"/>
      <c r="E94" s="138"/>
      <c r="F94" s="138"/>
      <c r="G94" s="138"/>
      <c r="H94" s="138"/>
      <c r="I94" s="138"/>
      <c r="J94" s="138"/>
      <c r="K94" s="138"/>
      <c r="N94" s="3561"/>
      <c r="O94" s="3563"/>
      <c r="Z94" s="1719" t="s">
        <v>6462</v>
      </c>
      <c r="AA94" s="1721">
        <v>94</v>
      </c>
    </row>
    <row r="95" spans="1:27" ht="13.35" customHeight="1">
      <c r="A95" s="341" t="s">
        <v>1095</v>
      </c>
      <c r="B95" s="179">
        <f>+K63</f>
        <v>-7500</v>
      </c>
      <c r="C95" s="179">
        <f t="shared" ref="C95:K95" si="43">+B95</f>
        <v>-7500</v>
      </c>
      <c r="D95" s="179">
        <f t="shared" si="43"/>
        <v>-7500</v>
      </c>
      <c r="E95" s="179">
        <f t="shared" si="43"/>
        <v>-7500</v>
      </c>
      <c r="F95" s="179">
        <f t="shared" si="43"/>
        <v>-7500</v>
      </c>
      <c r="G95" s="179">
        <f t="shared" si="43"/>
        <v>-7500</v>
      </c>
      <c r="H95" s="179">
        <f t="shared" si="43"/>
        <v>-7500</v>
      </c>
      <c r="I95" s="179">
        <f t="shared" si="43"/>
        <v>-7500</v>
      </c>
      <c r="J95" s="179">
        <f t="shared" si="43"/>
        <v>-7500</v>
      </c>
      <c r="K95" s="179">
        <f t="shared" si="43"/>
        <v>-7500</v>
      </c>
      <c r="N95" s="3561"/>
      <c r="O95" s="3563"/>
      <c r="Z95" s="1719" t="s">
        <v>6462</v>
      </c>
      <c r="AA95" s="1721">
        <v>95</v>
      </c>
    </row>
    <row r="96" spans="1:27" ht="13.35" customHeight="1">
      <c r="A96" s="17" t="s">
        <v>1096</v>
      </c>
      <c r="B96" s="18">
        <f t="shared" ref="B96:K96" si="44">SUM(B89:B95)</f>
        <v>-12596.096234171389</v>
      </c>
      <c r="C96" s="18">
        <f t="shared" si="44"/>
        <v>-15776.996934593801</v>
      </c>
      <c r="D96" s="18">
        <f t="shared" si="44"/>
        <v>-19145.044558323876</v>
      </c>
      <c r="E96" s="18">
        <f t="shared" si="44"/>
        <v>-22706.609111106838</v>
      </c>
      <c r="F96" s="18">
        <f t="shared" si="44"/>
        <v>-26471.288410820904</v>
      </c>
      <c r="G96" s="18">
        <f t="shared" si="44"/>
        <v>-30446.915656080993</v>
      </c>
      <c r="H96" s="18">
        <f t="shared" si="44"/>
        <v>-34640.567236584902</v>
      </c>
      <c r="I96" s="18">
        <f t="shared" si="44"/>
        <v>-39060.570792747239</v>
      </c>
      <c r="J96" s="18">
        <f t="shared" si="44"/>
        <v>-43717.513532402867</v>
      </c>
      <c r="K96" s="19">
        <f t="shared" si="44"/>
        <v>-48619.250812592705</v>
      </c>
      <c r="N96" s="3561"/>
      <c r="O96" s="3563"/>
      <c r="Z96" s="1719" t="s">
        <v>6462</v>
      </c>
      <c r="AA96" s="1721">
        <v>96</v>
      </c>
    </row>
    <row r="97" spans="1:27" ht="13.35" customHeight="1">
      <c r="A97" s="17" t="str">
        <f>$A66</f>
        <v>DCR Mortgage A</v>
      </c>
      <c r="B97" s="20">
        <f t="shared" ref="B97:K97" si="45">IF(B90=0,"",-B89/B90)</f>
        <v>0.90208710580275864</v>
      </c>
      <c r="C97" s="20">
        <f t="shared" si="45"/>
        <v>0.84097146366790565</v>
      </c>
      <c r="D97" s="20">
        <f t="shared" si="45"/>
        <v>0.77626010903879239</v>
      </c>
      <c r="E97" s="20">
        <f t="shared" si="45"/>
        <v>0.70783065299850934</v>
      </c>
      <c r="F97" s="20">
        <f t="shared" si="45"/>
        <v>0.6354986896639544</v>
      </c>
      <c r="G97" s="20">
        <f t="shared" si="45"/>
        <v>0.55911371733500959</v>
      </c>
      <c r="H97" s="20">
        <f t="shared" si="45"/>
        <v>0.47853977511848528</v>
      </c>
      <c r="I97" s="20">
        <f t="shared" si="45"/>
        <v>0.39361686144899455</v>
      </c>
      <c r="J97" s="20">
        <f t="shared" si="45"/>
        <v>0.30414156098409789</v>
      </c>
      <c r="K97" s="21">
        <f t="shared" si="45"/>
        <v>0.2099629462868936</v>
      </c>
      <c r="N97" s="3561"/>
      <c r="O97" s="3563"/>
      <c r="Z97" s="1719" t="s">
        <v>6462</v>
      </c>
      <c r="AA97" s="1721">
        <v>97</v>
      </c>
    </row>
    <row r="98" spans="1:27" ht="13.35" customHeight="1">
      <c r="A98" s="17" t="str">
        <f>$A67</f>
        <v>DCR Mortgage B</v>
      </c>
      <c r="B98" s="20" t="str">
        <f t="shared" ref="B98:K98" si="46">IF(B91=0,"",-(B89+B90)/B91)</f>
        <v/>
      </c>
      <c r="C98" s="20" t="str">
        <f t="shared" si="46"/>
        <v/>
      </c>
      <c r="D98" s="20" t="str">
        <f t="shared" si="46"/>
        <v/>
      </c>
      <c r="E98" s="20" t="str">
        <f t="shared" si="46"/>
        <v/>
      </c>
      <c r="F98" s="20" t="str">
        <f t="shared" si="46"/>
        <v/>
      </c>
      <c r="G98" s="20" t="str">
        <f t="shared" si="46"/>
        <v/>
      </c>
      <c r="H98" s="20" t="str">
        <f t="shared" si="46"/>
        <v/>
      </c>
      <c r="I98" s="20" t="str">
        <f t="shared" si="46"/>
        <v/>
      </c>
      <c r="J98" s="20" t="str">
        <f t="shared" si="46"/>
        <v/>
      </c>
      <c r="K98" s="21" t="str">
        <f t="shared" si="46"/>
        <v/>
      </c>
      <c r="N98" s="3561"/>
      <c r="O98" s="3563"/>
      <c r="Z98" s="1719" t="s">
        <v>6462</v>
      </c>
      <c r="AA98" s="1721">
        <v>98</v>
      </c>
    </row>
    <row r="99" spans="1:27" ht="13.35"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561"/>
      <c r="O99" s="3563"/>
      <c r="Z99" s="1719" t="s">
        <v>6462</v>
      </c>
      <c r="AA99" s="1721">
        <v>99</v>
      </c>
    </row>
    <row r="100" spans="1:27" ht="13.35"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561"/>
      <c r="O100" s="3563"/>
      <c r="Z100" s="1719" t="s">
        <v>6462</v>
      </c>
      <c r="AA100" s="1721">
        <v>100</v>
      </c>
    </row>
    <row r="101" spans="1:27" ht="13.35" customHeight="1">
      <c r="A101" s="341" t="s">
        <v>3213</v>
      </c>
      <c r="B101" s="20">
        <f t="shared" ref="B101:K101" si="49">IF(AND(B90=0,B91=0,B92=0,B93=0),"",-B89/(B90+B91+B92+B93))</f>
        <v>0.90208710580275864</v>
      </c>
      <c r="C101" s="20">
        <f t="shared" si="49"/>
        <v>0.84097146366790565</v>
      </c>
      <c r="D101" s="20">
        <f t="shared" si="49"/>
        <v>0.77626010903879239</v>
      </c>
      <c r="E101" s="20">
        <f t="shared" si="49"/>
        <v>0.70783065299850934</v>
      </c>
      <c r="F101" s="20">
        <f t="shared" si="49"/>
        <v>0.6354986896639544</v>
      </c>
      <c r="G101" s="20">
        <f t="shared" si="49"/>
        <v>0.55911371733500959</v>
      </c>
      <c r="H101" s="20">
        <f t="shared" si="49"/>
        <v>0.47853977511848528</v>
      </c>
      <c r="I101" s="20">
        <f t="shared" si="49"/>
        <v>0.39361686144899455</v>
      </c>
      <c r="J101" s="20">
        <f t="shared" si="49"/>
        <v>0.30414156098409789</v>
      </c>
      <c r="K101" s="21">
        <f t="shared" si="49"/>
        <v>0.2099629462868936</v>
      </c>
      <c r="N101" s="3561"/>
      <c r="O101" s="3563"/>
      <c r="Z101" s="1719" t="s">
        <v>6462</v>
      </c>
      <c r="AA101" s="1721">
        <v>101</v>
      </c>
    </row>
    <row r="102" spans="1:27" ht="13.35" customHeight="1">
      <c r="A102" s="17" t="s">
        <v>718</v>
      </c>
      <c r="B102" s="220">
        <f>IF(OR(B86="Choose mgt fee",B86="Choose One!"),"",(B79+B80+B81+B82+B83) / -(B85+B86+B87))</f>
        <v>1.1139733792135411</v>
      </c>
      <c r="C102" s="220">
        <f t="shared" ref="C102:K102" si="50">IF(OR(C86="Choose mgt fee",C86="Choose One!"),"",(C79+C80+C81+C82+C83) / -(C85+C86+C87))</f>
        <v>1.1031569597294635</v>
      </c>
      <c r="D102" s="220">
        <f t="shared" si="50"/>
        <v>1.0924457481109713</v>
      </c>
      <c r="E102" s="220">
        <f t="shared" si="50"/>
        <v>1.0818413052210452</v>
      </c>
      <c r="F102" s="220">
        <f t="shared" si="50"/>
        <v>1.0713379453650644</v>
      </c>
      <c r="G102" s="220">
        <f t="shared" si="50"/>
        <v>1.0609352065010929</v>
      </c>
      <c r="H102" s="220">
        <f t="shared" si="50"/>
        <v>1.0506347792536077</v>
      </c>
      <c r="I102" s="220">
        <f t="shared" si="50"/>
        <v>1.0404359817747444</v>
      </c>
      <c r="J102" s="220">
        <f t="shared" si="50"/>
        <v>1.0303342074489161</v>
      </c>
      <c r="K102" s="221">
        <f t="shared" si="50"/>
        <v>1.0203311715285519</v>
      </c>
      <c r="N102" s="3561"/>
      <c r="O102" s="3563"/>
      <c r="Z102" s="1719" t="s">
        <v>6462</v>
      </c>
      <c r="AA102" s="1721">
        <v>102</v>
      </c>
    </row>
    <row r="103" spans="1:27" ht="13.35" customHeight="1">
      <c r="A103" s="341" t="s">
        <v>2405</v>
      </c>
      <c r="B103" s="3009">
        <f>IF($K$40="","",-FV(0.0664/12,12,B90/12,K72))</f>
        <v>473657.90808112116</v>
      </c>
      <c r="C103" s="3009">
        <f t="shared" ref="C103:K103" si="51">IF($K$40="","",-FV(0.0664/12,12,C90/12,B103))</f>
        <v>452423.02747193328</v>
      </c>
      <c r="D103" s="3009">
        <f t="shared" si="51"/>
        <v>429734.43850089982</v>
      </c>
      <c r="E103" s="3009">
        <f t="shared" si="51"/>
        <v>405492.62245443836</v>
      </c>
      <c r="F103" s="3009">
        <f t="shared" si="51"/>
        <v>379591.2477157648</v>
      </c>
      <c r="G103" s="3009">
        <f t="shared" si="51"/>
        <v>351916.70336366678</v>
      </c>
      <c r="H103" s="3009">
        <f t="shared" si="51"/>
        <v>322347.60084214329</v>
      </c>
      <c r="I103" s="3009">
        <f t="shared" si="51"/>
        <v>290754.24151508766</v>
      </c>
      <c r="J103" s="3009">
        <f t="shared" si="51"/>
        <v>256998.04777055656</v>
      </c>
      <c r="K103" s="3009">
        <f t="shared" si="51"/>
        <v>220930.95517928203</v>
      </c>
      <c r="N103" s="3561"/>
      <c r="O103" s="3563"/>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4"/>
      <c r="O106" s="3576"/>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8" t="s">
        <v>3205</v>
      </c>
      <c r="O108" s="3198"/>
      <c r="AA108" s="1721">
        <v>108</v>
      </c>
    </row>
    <row r="109" spans="1:27" ht="13.35" customHeight="1">
      <c r="A109" s="14" t="s">
        <v>2215</v>
      </c>
      <c r="B109" s="15">
        <f>$B$15*(1+$B$6)^(B108-1)</f>
        <v>589706.87732068775</v>
      </c>
      <c r="C109" s="15">
        <f>$B$15*(1+$B$6)^(C108-1)</f>
        <v>601501.01486710133</v>
      </c>
      <c r="D109" s="15">
        <f>$B$15*(1+$B$6)^(D108-1)</f>
        <v>613531.03516444354</v>
      </c>
      <c r="E109" s="15">
        <f>$B$15*(1+$B$6)^(E108-1)</f>
        <v>625801.65586773248</v>
      </c>
      <c r="F109" s="497">
        <f>$B$15*(1+$B$6)^(F108-1)</f>
        <v>638317.68898508698</v>
      </c>
      <c r="G109" s="13"/>
      <c r="H109" s="13"/>
      <c r="I109" s="13"/>
      <c r="J109" s="13"/>
      <c r="K109" s="13"/>
      <c r="N109" s="3564"/>
      <c r="O109" s="3566"/>
      <c r="Z109" s="1719" t="s">
        <v>6463</v>
      </c>
      <c r="AA109" s="1721">
        <v>109</v>
      </c>
    </row>
    <row r="110" spans="1:27" ht="13.35" customHeight="1">
      <c r="A110" s="17" t="s">
        <v>952</v>
      </c>
      <c r="B110" s="18">
        <f>$B$16*(1+$B$6)^(B108-1)</f>
        <v>11794.137546413755</v>
      </c>
      <c r="C110" s="18">
        <f>$B$16*(1+$B$6)^(C108-1)</f>
        <v>12030.020297342027</v>
      </c>
      <c r="D110" s="18">
        <f>$B$16*(1+$B$6)^(D108-1)</f>
        <v>12270.620703288871</v>
      </c>
      <c r="E110" s="18">
        <f>$B$16*(1+$B$6)^(E108-1)</f>
        <v>12516.033117354649</v>
      </c>
      <c r="F110" s="19">
        <f>$B$16*(1+$B$6)^(F108-1)</f>
        <v>12766.35377970174</v>
      </c>
      <c r="G110" s="13"/>
      <c r="H110" s="13"/>
      <c r="I110" s="13"/>
      <c r="J110" s="13"/>
      <c r="K110" s="13"/>
      <c r="N110" s="3561"/>
      <c r="O110" s="3563"/>
      <c r="Z110" s="1719" t="s">
        <v>6463</v>
      </c>
      <c r="AA110" s="1721">
        <v>110</v>
      </c>
    </row>
    <row r="111" spans="1:27" ht="13.35" customHeight="1">
      <c r="A111" s="17" t="s">
        <v>2216</v>
      </c>
      <c r="B111" s="18">
        <f>-(B109+B110)*$B$9</f>
        <v>-42105.071040697112</v>
      </c>
      <c r="C111" s="18">
        <f>-(C109+C110)*$B$9</f>
        <v>-42947.172461511036</v>
      </c>
      <c r="D111" s="18">
        <f>-(D109+D110)*$B$9</f>
        <v>-43806.115910741268</v>
      </c>
      <c r="E111" s="18">
        <f>-(E109+E110)*$B$9</f>
        <v>-44682.238228956099</v>
      </c>
      <c r="F111" s="19">
        <f>-(F109+F110)*$B$9</f>
        <v>-45575.882993535219</v>
      </c>
      <c r="G111" s="13"/>
      <c r="H111" s="13"/>
      <c r="I111" s="13"/>
      <c r="J111" s="13"/>
      <c r="K111" s="13"/>
      <c r="N111" s="3561"/>
      <c r="O111" s="3563"/>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6463</v>
      </c>
      <c r="AA113" s="1721">
        <v>113</v>
      </c>
    </row>
    <row r="114" spans="1:27" ht="13.35" customHeight="1">
      <c r="A114" s="341" t="s">
        <v>3837</v>
      </c>
      <c r="B114" s="18">
        <f>SUM(B109:B113)</f>
        <v>559395.9438264044</v>
      </c>
      <c r="C114" s="18">
        <f>SUM(C109:C113)</f>
        <v>570583.86270293233</v>
      </c>
      <c r="D114" s="18">
        <f>SUM(D109:D113)</f>
        <v>581995.5399569911</v>
      </c>
      <c r="E114" s="18">
        <f>SUM(E109:E113)</f>
        <v>593635.45075613097</v>
      </c>
      <c r="F114" s="19">
        <f>SUM(F109:F113)</f>
        <v>605508.15977125347</v>
      </c>
      <c r="G114" s="13"/>
      <c r="H114" s="13"/>
      <c r="I114" s="13"/>
      <c r="J114" s="13"/>
      <c r="K114" s="13"/>
      <c r="N114" s="3561"/>
      <c r="O114" s="3563"/>
      <c r="Z114" s="1719" t="s">
        <v>6463</v>
      </c>
      <c r="AA114" s="1721">
        <v>114</v>
      </c>
    </row>
    <row r="115" spans="1:27" ht="13.35" customHeight="1">
      <c r="A115" s="17" t="s">
        <v>572</v>
      </c>
      <c r="B115" s="18">
        <f>$B$21*(1+$B$7)^(B108-1)</f>
        <v>-473097.72825957643</v>
      </c>
      <c r="C115" s="18">
        <f>$B$21*(1+$B$7)^(C108-1)</f>
        <v>-487290.66010736383</v>
      </c>
      <c r="D115" s="18">
        <f>$B$21*(1+$B$7)^(D108-1)</f>
        <v>-501909.37991058466</v>
      </c>
      <c r="E115" s="18">
        <f>$B$21*(1+$B$7)^(E108-1)</f>
        <v>-516966.66130790219</v>
      </c>
      <c r="F115" s="19">
        <f>$B$21*(1+$B$7)^(F108-1)</f>
        <v>-532475.66114713915</v>
      </c>
      <c r="G115" s="13"/>
      <c r="H115" s="13"/>
      <c r="I115" s="13"/>
      <c r="J115" s="13"/>
      <c r="K115" s="13"/>
      <c r="N115" s="3561"/>
      <c r="O115" s="3563"/>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-53827</v>
      </c>
      <c r="C116" s="18">
        <f>IF(AND('Part VI-Pro Forma'!$G$9="Yes",'Part VI-Pro Forma'!$G$10="Yes"),"Choose One!",IF('Part VI-Pro Forma'!$G$9="Yes",ROUND((-$K$9*(1+'Part VI-Pro Forma'!$B$7)^('Part VI-Pro Forma'!C108-1)),),IF('Part VI-Pro Forma'!$G$10="Yes",ROUND((-(SUM(C109:C112)*'Part VI-Pro Forma'!$K$10)),),"Choose mgt fee")))</f>
        <v>-55442</v>
      </c>
      <c r="D116" s="18">
        <f>IF(AND('Part VI-Pro Forma'!$G$9="Yes",'Part VI-Pro Forma'!$G$10="Yes"),"Choose One!",IF('Part VI-Pro Forma'!$G$9="Yes",ROUND((-$K$9*(1+'Part VI-Pro Forma'!$B$7)^('Part VI-Pro Forma'!D108-1)),),IF('Part VI-Pro Forma'!$G$10="Yes",ROUND((-(SUM(D109:D112)*'Part VI-Pro Forma'!$K$10)),),"Choose mgt fee")))</f>
        <v>-57105</v>
      </c>
      <c r="E116" s="18">
        <f>IF(AND('Part VI-Pro Forma'!$G$9="Yes",'Part VI-Pro Forma'!$G$10="Yes"),"Choose One!",IF('Part VI-Pro Forma'!$G$9="Yes",ROUND((-$K$9*(1+'Part VI-Pro Forma'!$B$7)^('Part VI-Pro Forma'!E108-1)),),IF('Part VI-Pro Forma'!$G$10="Yes",ROUND((-(SUM(E109:E112)*'Part VI-Pro Forma'!$K$10)),),"Choose mgt fee")))</f>
        <v>-58818</v>
      </c>
      <c r="F116" s="19">
        <f>IF(AND('Part VI-Pro Forma'!$G$9="Yes",'Part VI-Pro Forma'!$G$10="Yes"),"Choose One!",IF('Part VI-Pro Forma'!$G$9="Yes",ROUND((-$K$9*(1+'Part VI-Pro Forma'!$B$7)^('Part VI-Pro Forma'!F108-1)),),IF('Part VI-Pro Forma'!$G$10="Yes",ROUND((-(SUM(F109:F112)*'Part VI-Pro Forma'!$K$10)),),"Choose mgt fee")))</f>
        <v>-60583</v>
      </c>
      <c r="G116" s="13"/>
      <c r="H116" s="13"/>
      <c r="I116" s="13"/>
      <c r="J116" s="13"/>
      <c r="K116" s="13"/>
      <c r="N116" s="3561"/>
      <c r="O116" s="3563"/>
      <c r="Z116" s="1719" t="s">
        <v>6463</v>
      </c>
      <c r="AA116" s="1721">
        <v>116</v>
      </c>
    </row>
    <row r="117" spans="1:27" ht="13.35" customHeight="1">
      <c r="A117" s="17" t="s">
        <v>1128</v>
      </c>
      <c r="B117" s="18">
        <f>$B$23*(1+$B$8)^(B108-1)</f>
        <v>-26699.887183086252</v>
      </c>
      <c r="C117" s="18">
        <f>$B$23*(1+$B$8)^(C108-1)</f>
        <v>-27500.883798578841</v>
      </c>
      <c r="D117" s="18">
        <f>$B$23*(1+$B$8)^(D108-1)</f>
        <v>-28325.910312536202</v>
      </c>
      <c r="E117" s="18">
        <f>$B$23*(1+$B$8)^(E108-1)</f>
        <v>-29175.68762191229</v>
      </c>
      <c r="F117" s="19">
        <f>$B$23*(1+$B$8)^(F108-1)</f>
        <v>-30050.958250569653</v>
      </c>
      <c r="G117" s="13"/>
      <c r="H117" s="13"/>
      <c r="I117" s="13"/>
      <c r="J117" s="13"/>
      <c r="K117" s="13"/>
      <c r="N117" s="3561"/>
      <c r="O117" s="3563"/>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1"/>
      <c r="O118" s="3563"/>
      <c r="Z118" s="1719" t="s">
        <v>6463</v>
      </c>
      <c r="AA118" s="1721">
        <v>118</v>
      </c>
    </row>
    <row r="119" spans="1:27" ht="13.35" customHeight="1">
      <c r="A119" s="17" t="s">
        <v>1129</v>
      </c>
      <c r="B119" s="18">
        <f>SUM(B114:B118)</f>
        <v>5771.3283837417221</v>
      </c>
      <c r="C119" s="18">
        <f>SUM(C114:C118)</f>
        <v>350.31879698965349</v>
      </c>
      <c r="D119" s="18">
        <f>SUM(D114:D118)</f>
        <v>-5344.7502661297622</v>
      </c>
      <c r="E119" s="18">
        <f>SUM(E114:E118)</f>
        <v>-11324.898173683509</v>
      </c>
      <c r="F119" s="1215">
        <f>SUM(F114:F118)</f>
        <v>-17601.459626455333</v>
      </c>
      <c r="G119" s="13"/>
      <c r="H119" s="13"/>
      <c r="I119" s="13"/>
      <c r="J119" s="13"/>
      <c r="K119" s="13"/>
      <c r="N119" s="3561"/>
      <c r="O119" s="3563"/>
      <c r="Z119" s="1719" t="s">
        <v>6463</v>
      </c>
      <c r="AA119" s="1721">
        <v>119</v>
      </c>
    </row>
    <row r="120" spans="1:27" ht="13.35" customHeight="1">
      <c r="A120" s="17" t="str">
        <f>$A90</f>
        <v>Mortgage A</v>
      </c>
      <c r="B120" s="3010">
        <f>+K90</f>
        <v>-52047.243378441242</v>
      </c>
      <c r="C120" s="3010">
        <f>+B120</f>
        <v>-52047.243378441242</v>
      </c>
      <c r="D120" s="3010">
        <f>+C120</f>
        <v>-52047.243378441242</v>
      </c>
      <c r="E120" s="3010">
        <f>+D120</f>
        <v>-52047.243378441242</v>
      </c>
      <c r="F120" s="3010">
        <f>+E120</f>
        <v>-52047.243378441242</v>
      </c>
      <c r="G120" s="13"/>
      <c r="H120" s="13"/>
      <c r="I120" s="13"/>
      <c r="J120" s="13"/>
      <c r="K120" s="13"/>
      <c r="N120" s="3561"/>
      <c r="O120" s="3563"/>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9" t="s">
        <v>6463</v>
      </c>
      <c r="AA123" s="1721">
        <v>123</v>
      </c>
    </row>
    <row r="124" spans="1:27" ht="13.35" customHeight="1">
      <c r="A124" s="17" t="s">
        <v>711</v>
      </c>
      <c r="B124" s="138"/>
      <c r="C124" s="138"/>
      <c r="D124" s="138"/>
      <c r="E124" s="138"/>
      <c r="F124" s="138"/>
      <c r="G124" s="13"/>
      <c r="H124" s="13"/>
      <c r="I124" s="13"/>
      <c r="J124" s="13"/>
      <c r="K124" s="13"/>
      <c r="N124" s="3561"/>
      <c r="O124" s="3563"/>
      <c r="Z124" s="1719" t="s">
        <v>6463</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61"/>
      <c r="O125" s="3563"/>
      <c r="Z125" s="1719" t="s">
        <v>6463</v>
      </c>
      <c r="AA125" s="1721">
        <v>125</v>
      </c>
    </row>
    <row r="126" spans="1:27" ht="13.35" customHeight="1">
      <c r="A126" s="17" t="s">
        <v>1096</v>
      </c>
      <c r="B126" s="18">
        <f>SUM(B119:B125)</f>
        <v>-53775.914994699517</v>
      </c>
      <c r="C126" s="18">
        <f>SUM(C119:C125)</f>
        <v>-59196.924581451589</v>
      </c>
      <c r="D126" s="18">
        <f>SUM(D119:D125)</f>
        <v>-64891.993644571005</v>
      </c>
      <c r="E126" s="18">
        <f>SUM(E119:E125)</f>
        <v>-70872.141552124755</v>
      </c>
      <c r="F126" s="19">
        <f>SUM(F119:F125)</f>
        <v>-77148.703004896583</v>
      </c>
      <c r="G126" s="13"/>
      <c r="H126" s="13"/>
      <c r="I126" s="13"/>
      <c r="J126" s="13"/>
      <c r="K126" s="13"/>
      <c r="N126" s="3561"/>
      <c r="O126" s="3563"/>
      <c r="Z126" s="1719" t="s">
        <v>6463</v>
      </c>
      <c r="AA126" s="1721">
        <v>126</v>
      </c>
    </row>
    <row r="127" spans="1:27" ht="13.35" customHeight="1">
      <c r="A127" s="17" t="str">
        <f>$A97</f>
        <v>DCR Mortgage A</v>
      </c>
      <c r="B127" s="20">
        <f>IF(B120=0,"",-B119/B120)</f>
        <v>0.11088634112238678</v>
      </c>
      <c r="C127" s="20">
        <f>IF(C120=0,"",-C119/C120)</f>
        <v>6.7307848456535325E-3</v>
      </c>
      <c r="D127" s="20">
        <f>IF(D120=0,"",-D119/D120)</f>
        <v>-0.10269036204794736</v>
      </c>
      <c r="E127" s="20">
        <f>IF(E120=0,"",-E119/E120)</f>
        <v>-0.21758881813084557</v>
      </c>
      <c r="F127" s="21">
        <f>IF(F120=0,"",-F119/F120)</f>
        <v>-0.33818236056179152</v>
      </c>
      <c r="G127" s="13"/>
      <c r="H127" s="13"/>
      <c r="I127" s="13"/>
      <c r="J127" s="13"/>
      <c r="K127" s="13"/>
      <c r="N127" s="3561"/>
      <c r="O127" s="3563"/>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9" t="s">
        <v>6463</v>
      </c>
      <c r="AA130" s="1721">
        <v>130</v>
      </c>
    </row>
    <row r="131" spans="1:27" ht="13.35" customHeight="1">
      <c r="A131" s="341" t="s">
        <v>3213</v>
      </c>
      <c r="B131" s="20">
        <f>IF(AND(B120=0,B121=0,B122=0,B123=0),"",-B119/(B120+B121+B122+B123))</f>
        <v>0.11088634112238678</v>
      </c>
      <c r="C131" s="20">
        <f>IF(AND(C120=0,C121=0,C122=0,C123=0),"",-C119/(C120+C121+C122+C123))</f>
        <v>6.7307848456535325E-3</v>
      </c>
      <c r="D131" s="20">
        <f>IF(AND(D120=0,D121=0,D122=0,D123=0),"",-D119/(D120+D121+D122+D123))</f>
        <v>-0.10269036204794736</v>
      </c>
      <c r="E131" s="20">
        <f>IF(AND(E120=0,E121=0,E122=0,E123=0),"",-E119/(E120+E121+E122+E123))</f>
        <v>-0.21758881813084557</v>
      </c>
      <c r="F131" s="21">
        <f>IF(AND(F120=0,F121=0,F122=0,F123=0),"",-F119/(F120+F121+F122+F123))</f>
        <v>-0.33818236056179152</v>
      </c>
      <c r="G131" s="13"/>
      <c r="H131" s="13"/>
      <c r="I131" s="13"/>
      <c r="J131" s="13"/>
      <c r="K131" s="13"/>
      <c r="N131" s="3561"/>
      <c r="O131" s="3563"/>
      <c r="Z131" s="1719" t="s">
        <v>6463</v>
      </c>
      <c r="AA131" s="1721">
        <v>131</v>
      </c>
    </row>
    <row r="132" spans="1:27" ht="13.35" customHeight="1">
      <c r="A132" s="17" t="s">
        <v>718</v>
      </c>
      <c r="B132" s="220">
        <f>IF(OR(B116="Choose mgt fee",B116="Choose One!"),"",(B109+B110+B111+B112+B113) / -(B115+B116+B117))</f>
        <v>1.0104246238746575</v>
      </c>
      <c r="C132" s="220">
        <f>IF(OR(C116="Choose mgt fee",C116="Choose One!"),"",(C109+C110+C111+C112+C113) / -(C115+C116+C117))</f>
        <v>1.0006143426684269</v>
      </c>
      <c r="D132" s="220">
        <f>IF(OR(D116="Choose mgt fee",D116="Choose One!"),"",(D109+D110+D111+D112+D113) / -(D115+D116+D117))</f>
        <v>0.99090007895746546</v>
      </c>
      <c r="E132" s="220">
        <f>IF(OR(E116="Choose mgt fee",E116="Choose One!"),"",(E109+E110+E111+E112+E113) / -(E115+E116+E117))</f>
        <v>0.98127993314980477</v>
      </c>
      <c r="F132" s="498">
        <f>IF(OR(F116="Choose mgt fee",F116="Choose One!"),"",(F109+F110+F111+F112+F113) / -(F115+F116+F117))</f>
        <v>0.97175222612761347</v>
      </c>
      <c r="G132" s="13"/>
      <c r="H132" s="13"/>
      <c r="I132" s="13"/>
      <c r="J132" s="13"/>
      <c r="K132" s="13"/>
      <c r="N132" s="3561"/>
      <c r="O132" s="3563"/>
      <c r="Z132" s="1719" t="s">
        <v>6463</v>
      </c>
      <c r="AA132" s="1721">
        <v>132</v>
      </c>
    </row>
    <row r="133" spans="1:27" ht="13.35" customHeight="1">
      <c r="A133" s="341" t="s">
        <v>2405</v>
      </c>
      <c r="B133" s="3009">
        <f>IF($K$40="","",-FV(0.0664/12,12,B120/12,K103))</f>
        <v>182394.76304125931</v>
      </c>
      <c r="C133" s="3009">
        <f>IF($K$40="","",-FV(0.0664/12,12,C120/12,B133))</f>
        <v>141220.44047171937</v>
      </c>
      <c r="D133" s="3009">
        <f>IF($K$40="","",-FV(0.0664/12,12,D120/12,C133))</f>
        <v>97227.384982778312</v>
      </c>
      <c r="E133" s="3009">
        <f>IF($K$40="","",-FV(0.0664/12,12,E120/12,D133))</f>
        <v>50222.630308688938</v>
      </c>
      <c r="F133" s="3009">
        <f>IF($K$40="","",-FV(0.0664/12,12,F120/12,E133))</f>
        <v>-1.3686076272279024E-8</v>
      </c>
      <c r="G133" s="13"/>
      <c r="H133" s="13"/>
      <c r="I133" s="13"/>
      <c r="J133" s="13"/>
      <c r="K133" s="13"/>
      <c r="N133" s="3561"/>
      <c r="O133" s="3563"/>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4"/>
      <c r="O136" s="3576"/>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8" t="s">
        <v>7111</v>
      </c>
      <c r="B140" s="3678"/>
      <c r="C140" s="3678"/>
      <c r="D140" s="3678"/>
      <c r="E140" s="3678"/>
      <c r="F140" s="3679"/>
      <c r="G140" s="3680"/>
      <c r="H140" s="3681"/>
      <c r="I140" s="3681"/>
      <c r="J140" s="3681"/>
      <c r="K140" s="3682"/>
      <c r="N140" s="3304" t="s">
        <v>2452</v>
      </c>
      <c r="O140" s="3304"/>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72" zoomScaleNormal="100" workbookViewId="0">
      <selection activeCell="E75" sqref="E75"/>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3" t="str">
        <f>CONCATENATE("PART SEVEN - THRESHOLD CRITERIA","  -  ",'Part I-Project Identification'!$O$7," ",'Part I-Project Identification'!$F$25,", ",'Part I-Project Identification'!F26,", ",'Part I-Project Identification'!J26," County")</f>
        <v>PART SEVEN - THRESHOLD CRITERIA  -  2023-0 Windsor Crossing, Nashville, Berrien County</v>
      </c>
      <c r="B1" s="3683"/>
      <c r="C1" s="3683"/>
      <c r="D1" s="3683"/>
      <c r="E1" s="3683"/>
      <c r="F1" s="3683"/>
      <c r="G1" s="3683"/>
      <c r="H1" s="3683"/>
      <c r="I1" s="3683"/>
      <c r="J1" s="3683"/>
      <c r="K1" s="3683"/>
      <c r="L1" s="3683"/>
      <c r="M1" s="3683"/>
      <c r="N1" s="3683"/>
      <c r="O1" s="3683"/>
      <c r="P1" s="3683"/>
      <c r="Q1" s="3683"/>
    </row>
    <row r="2" spans="1:17" s="2011" customFormat="1" ht="12.75"/>
    <row r="3" spans="1:17" s="2011" customFormat="1" ht="12.75">
      <c r="A3" s="368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4"/>
      <c r="C3" s="3684"/>
      <c r="D3" s="3684"/>
      <c r="E3" s="3684"/>
      <c r="F3" s="3684"/>
      <c r="G3" s="3684"/>
      <c r="H3" s="368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4"/>
      <c r="J3" s="3684"/>
      <c r="K3" s="3684"/>
      <c r="L3" s="3684"/>
      <c r="M3" s="3684"/>
      <c r="N3" s="3684"/>
      <c r="O3" s="2012"/>
      <c r="P3" s="3685" t="s">
        <v>6770</v>
      </c>
      <c r="Q3" s="3687" t="s">
        <v>6530</v>
      </c>
    </row>
    <row r="4" spans="1:17" s="2011" customFormat="1" ht="12.75">
      <c r="A4" s="2013"/>
      <c r="B4" s="3689"/>
      <c r="C4" s="3689"/>
      <c r="D4" s="3689"/>
      <c r="E4" s="2013"/>
      <c r="F4" s="2013"/>
      <c r="G4" s="2013"/>
      <c r="H4" s="2013"/>
      <c r="I4" s="2012"/>
      <c r="J4" s="2014"/>
      <c r="K4" s="2013"/>
      <c r="L4" s="2013"/>
      <c r="M4" s="2013"/>
      <c r="N4" s="2013"/>
      <c r="O4" s="2012"/>
      <c r="P4" s="3685"/>
      <c r="Q4" s="3687"/>
    </row>
    <row r="5" spans="1:17" s="2011" customFormat="1" ht="12.75">
      <c r="A5" s="2012"/>
      <c r="B5" s="2012"/>
      <c r="C5" s="2012"/>
      <c r="D5" s="2012"/>
      <c r="E5" s="3690" t="str">
        <f>'Part I-Project Identification'!$A$6</f>
        <v>April 2023</v>
      </c>
      <c r="F5" s="3690"/>
      <c r="G5" s="3690"/>
      <c r="H5" s="3690"/>
      <c r="I5" s="3690"/>
      <c r="J5" s="2014"/>
      <c r="K5" s="2013"/>
      <c r="L5" s="2013"/>
      <c r="M5" s="2013"/>
      <c r="N5" s="2013"/>
      <c r="O5" s="2012"/>
      <c r="P5" s="3686"/>
      <c r="Q5" s="3688"/>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4" t="s">
        <v>6771</v>
      </c>
      <c r="B7" s="3694"/>
      <c r="C7" s="3694"/>
      <c r="D7" s="3694"/>
      <c r="E7" s="3694"/>
      <c r="F7" s="3694"/>
      <c r="G7" s="3694"/>
      <c r="H7" s="3694"/>
      <c r="I7" s="3694"/>
      <c r="J7" s="3694"/>
      <c r="K7" s="3694"/>
      <c r="L7" s="3694"/>
      <c r="M7" s="3694"/>
      <c r="N7" s="3694"/>
      <c r="O7" s="3694"/>
      <c r="P7" s="3694"/>
      <c r="Q7" s="3694"/>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5"/>
      <c r="Q9" s="3696"/>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7" t="s">
        <v>1329</v>
      </c>
      <c r="B11" s="3698"/>
      <c r="C11" s="3698"/>
      <c r="D11" s="3698"/>
      <c r="E11" s="3698"/>
      <c r="F11" s="3698"/>
      <c r="G11" s="3698"/>
      <c r="H11" s="3698"/>
      <c r="I11" s="3698"/>
      <c r="J11" s="3698"/>
      <c r="K11" s="3698"/>
      <c r="L11" s="3698"/>
      <c r="M11" s="3698"/>
      <c r="N11" s="3698"/>
      <c r="O11" s="3698"/>
      <c r="P11" s="3698"/>
      <c r="Q11" s="3699"/>
    </row>
    <row r="12" spans="1:17" s="2022" customFormat="1" ht="14.25">
      <c r="A12" s="3691" t="s">
        <v>218</v>
      </c>
      <c r="B12" s="3692"/>
      <c r="C12" s="3692"/>
      <c r="D12" s="3692"/>
      <c r="E12" s="3692"/>
      <c r="F12" s="3692"/>
      <c r="G12" s="3692"/>
      <c r="H12" s="3692"/>
      <c r="I12" s="3692"/>
      <c r="J12" s="3692"/>
      <c r="K12" s="3692"/>
      <c r="L12" s="3692"/>
      <c r="M12" s="3692"/>
      <c r="N12" s="3692"/>
      <c r="O12" s="3692"/>
      <c r="P12" s="3692"/>
      <c r="Q12" s="3693"/>
    </row>
    <row r="13" spans="1:17" s="2022" customFormat="1" ht="14.25">
      <c r="A13" s="3691" t="s">
        <v>1325</v>
      </c>
      <c r="B13" s="3692"/>
      <c r="C13" s="3692"/>
      <c r="D13" s="3692"/>
      <c r="E13" s="3692"/>
      <c r="F13" s="3692"/>
      <c r="G13" s="3692"/>
      <c r="H13" s="3692"/>
      <c r="I13" s="3692"/>
      <c r="J13" s="3692"/>
      <c r="K13" s="3692"/>
      <c r="L13" s="3692"/>
      <c r="M13" s="3692"/>
      <c r="N13" s="3692"/>
      <c r="O13" s="3692"/>
      <c r="P13" s="3692"/>
      <c r="Q13" s="3693"/>
    </row>
    <row r="14" spans="1:17" s="2022" customFormat="1" ht="14.25">
      <c r="A14" s="3691" t="s">
        <v>1326</v>
      </c>
      <c r="B14" s="3692"/>
      <c r="C14" s="3692"/>
      <c r="D14" s="3692"/>
      <c r="E14" s="3692"/>
      <c r="F14" s="3692"/>
      <c r="G14" s="3692"/>
      <c r="H14" s="3692"/>
      <c r="I14" s="3692"/>
      <c r="J14" s="3692"/>
      <c r="K14" s="3692"/>
      <c r="L14" s="3692"/>
      <c r="M14" s="3692"/>
      <c r="N14" s="3692"/>
      <c r="O14" s="3692"/>
      <c r="P14" s="3692"/>
      <c r="Q14" s="3693"/>
    </row>
    <row r="15" spans="1:17" s="2022" customFormat="1" ht="14.25">
      <c r="A15" s="3691" t="s">
        <v>1327</v>
      </c>
      <c r="B15" s="3692"/>
      <c r="C15" s="3692"/>
      <c r="D15" s="3692"/>
      <c r="E15" s="3692"/>
      <c r="F15" s="3692"/>
      <c r="G15" s="3692"/>
      <c r="H15" s="3692"/>
      <c r="I15" s="3692"/>
      <c r="J15" s="3692"/>
      <c r="K15" s="3692"/>
      <c r="L15" s="3692"/>
      <c r="M15" s="3692"/>
      <c r="N15" s="3692"/>
      <c r="O15" s="3692"/>
      <c r="P15" s="3692"/>
      <c r="Q15" s="3693"/>
    </row>
    <row r="16" spans="1:17" s="2022" customFormat="1" ht="14.25">
      <c r="A16" s="3691" t="s">
        <v>1328</v>
      </c>
      <c r="B16" s="3692"/>
      <c r="C16" s="3692"/>
      <c r="D16" s="3692"/>
      <c r="E16" s="3692"/>
      <c r="F16" s="3692"/>
      <c r="G16" s="3692"/>
      <c r="H16" s="3692"/>
      <c r="I16" s="3692"/>
      <c r="J16" s="3692"/>
      <c r="K16" s="3692"/>
      <c r="L16" s="3692"/>
      <c r="M16" s="3692"/>
      <c r="N16" s="3692"/>
      <c r="O16" s="3692"/>
      <c r="P16" s="3692"/>
      <c r="Q16" s="3693"/>
    </row>
    <row r="17" spans="1:17" s="2022" customFormat="1" ht="14.25">
      <c r="A17" s="3691" t="s">
        <v>1330</v>
      </c>
      <c r="B17" s="3692"/>
      <c r="C17" s="3692"/>
      <c r="D17" s="3692"/>
      <c r="E17" s="3692"/>
      <c r="F17" s="3692"/>
      <c r="G17" s="3692"/>
      <c r="H17" s="3692"/>
      <c r="I17" s="3692"/>
      <c r="J17" s="3692"/>
      <c r="K17" s="3692"/>
      <c r="L17" s="3692"/>
      <c r="M17" s="3692"/>
      <c r="N17" s="3692"/>
      <c r="O17" s="3692"/>
      <c r="P17" s="3692"/>
      <c r="Q17" s="3693"/>
    </row>
    <row r="18" spans="1:17" s="2022" customFormat="1" ht="14.25">
      <c r="A18" s="3691" t="s">
        <v>1872</v>
      </c>
      <c r="B18" s="3692"/>
      <c r="C18" s="3692"/>
      <c r="D18" s="3692"/>
      <c r="E18" s="3692"/>
      <c r="F18" s="3692"/>
      <c r="G18" s="3692"/>
      <c r="H18" s="3692"/>
      <c r="I18" s="3692"/>
      <c r="J18" s="3692"/>
      <c r="K18" s="3692"/>
      <c r="L18" s="3692"/>
      <c r="M18" s="3692"/>
      <c r="N18" s="3692"/>
      <c r="O18" s="3692"/>
      <c r="P18" s="3692"/>
      <c r="Q18" s="3693"/>
    </row>
    <row r="19" spans="1:17" s="2022" customFormat="1" ht="14.25">
      <c r="A19" s="3691" t="s">
        <v>1873</v>
      </c>
      <c r="B19" s="3692"/>
      <c r="C19" s="3692"/>
      <c r="D19" s="3692"/>
      <c r="E19" s="3692"/>
      <c r="F19" s="3692"/>
      <c r="G19" s="3692"/>
      <c r="H19" s="3692"/>
      <c r="I19" s="3692"/>
      <c r="J19" s="3692"/>
      <c r="K19" s="3692"/>
      <c r="L19" s="3692"/>
      <c r="M19" s="3692"/>
      <c r="N19" s="3692"/>
      <c r="O19" s="3692"/>
      <c r="P19" s="3692"/>
      <c r="Q19" s="3693"/>
    </row>
    <row r="20" spans="1:17" s="2022" customFormat="1" ht="14.25">
      <c r="A20" s="3691" t="s">
        <v>1874</v>
      </c>
      <c r="B20" s="3692"/>
      <c r="C20" s="3692"/>
      <c r="D20" s="3692"/>
      <c r="E20" s="3692"/>
      <c r="F20" s="3692"/>
      <c r="G20" s="3692"/>
      <c r="H20" s="3692"/>
      <c r="I20" s="3692"/>
      <c r="J20" s="3692"/>
      <c r="K20" s="3692"/>
      <c r="L20" s="3692"/>
      <c r="M20" s="3692"/>
      <c r="N20" s="3692"/>
      <c r="O20" s="3692"/>
      <c r="P20" s="3692"/>
      <c r="Q20" s="3693"/>
    </row>
    <row r="21" spans="1:17" s="2022" customFormat="1" ht="14.25">
      <c r="A21" s="3691" t="s">
        <v>1875</v>
      </c>
      <c r="B21" s="3692"/>
      <c r="C21" s="3692"/>
      <c r="D21" s="3692"/>
      <c r="E21" s="3692"/>
      <c r="F21" s="3692"/>
      <c r="G21" s="3692"/>
      <c r="H21" s="3692"/>
      <c r="I21" s="3692"/>
      <c r="J21" s="3692"/>
      <c r="K21" s="3692"/>
      <c r="L21" s="3692"/>
      <c r="M21" s="3692"/>
      <c r="N21" s="3692"/>
      <c r="O21" s="3692"/>
      <c r="P21" s="3692"/>
      <c r="Q21" s="3693"/>
    </row>
    <row r="22" spans="1:17" s="2022" customFormat="1" ht="14.25">
      <c r="A22" s="3691" t="s">
        <v>1876</v>
      </c>
      <c r="B22" s="3692"/>
      <c r="C22" s="3692"/>
      <c r="D22" s="3692"/>
      <c r="E22" s="3692"/>
      <c r="F22" s="3692"/>
      <c r="G22" s="3692"/>
      <c r="H22" s="3692"/>
      <c r="I22" s="3692"/>
      <c r="J22" s="3692"/>
      <c r="K22" s="3692"/>
      <c r="L22" s="3692"/>
      <c r="M22" s="3692"/>
      <c r="N22" s="3692"/>
      <c r="O22" s="3692"/>
      <c r="P22" s="3692"/>
      <c r="Q22" s="3693"/>
    </row>
    <row r="23" spans="1:17" s="2022" customFormat="1" ht="14.25">
      <c r="A23" s="3691" t="s">
        <v>1877</v>
      </c>
      <c r="B23" s="3692"/>
      <c r="C23" s="3692"/>
      <c r="D23" s="3692"/>
      <c r="E23" s="3692"/>
      <c r="F23" s="3692"/>
      <c r="G23" s="3692"/>
      <c r="H23" s="3692"/>
      <c r="I23" s="3692"/>
      <c r="J23" s="3692"/>
      <c r="K23" s="3692"/>
      <c r="L23" s="3692"/>
      <c r="M23" s="3692"/>
      <c r="N23" s="3692"/>
      <c r="O23" s="3692"/>
      <c r="P23" s="3692"/>
      <c r="Q23" s="3693"/>
    </row>
    <row r="24" spans="1:17" s="2022" customFormat="1" ht="14.25">
      <c r="A24" s="3691" t="s">
        <v>1878</v>
      </c>
      <c r="B24" s="3692"/>
      <c r="C24" s="3692"/>
      <c r="D24" s="3692"/>
      <c r="E24" s="3692"/>
      <c r="F24" s="3692"/>
      <c r="G24" s="3692"/>
      <c r="H24" s="3692"/>
      <c r="I24" s="3692"/>
      <c r="J24" s="3692"/>
      <c r="K24" s="3692"/>
      <c r="L24" s="3692"/>
      <c r="M24" s="3692"/>
      <c r="N24" s="3692"/>
      <c r="O24" s="3692"/>
      <c r="P24" s="3692"/>
      <c r="Q24" s="3693"/>
    </row>
    <row r="25" spans="1:17" s="2022" customFormat="1" ht="14.25">
      <c r="A25" s="3691" t="s">
        <v>1879</v>
      </c>
      <c r="B25" s="3692"/>
      <c r="C25" s="3692"/>
      <c r="D25" s="3692"/>
      <c r="E25" s="3692"/>
      <c r="F25" s="3692"/>
      <c r="G25" s="3692"/>
      <c r="H25" s="3692"/>
      <c r="I25" s="3692"/>
      <c r="J25" s="3692"/>
      <c r="K25" s="3692"/>
      <c r="L25" s="3692"/>
      <c r="M25" s="3692"/>
      <c r="N25" s="3692"/>
      <c r="O25" s="3692"/>
      <c r="P25" s="3692"/>
      <c r="Q25" s="3693"/>
    </row>
    <row r="26" spans="1:17" s="2022" customFormat="1" ht="14.25">
      <c r="A26" s="3691" t="s">
        <v>1880</v>
      </c>
      <c r="B26" s="3692"/>
      <c r="C26" s="3692"/>
      <c r="D26" s="3692"/>
      <c r="E26" s="3692"/>
      <c r="F26" s="3692"/>
      <c r="G26" s="3692"/>
      <c r="H26" s="3692"/>
      <c r="I26" s="3692"/>
      <c r="J26" s="3692"/>
      <c r="K26" s="3692"/>
      <c r="L26" s="3692"/>
      <c r="M26" s="3692"/>
      <c r="N26" s="3692"/>
      <c r="O26" s="3692"/>
      <c r="P26" s="3692"/>
      <c r="Q26" s="3693"/>
    </row>
    <row r="27" spans="1:17" s="2022" customFormat="1" ht="14.25">
      <c r="A27" s="3691" t="s">
        <v>1881</v>
      </c>
      <c r="B27" s="3692"/>
      <c r="C27" s="3692"/>
      <c r="D27" s="3692"/>
      <c r="E27" s="3692"/>
      <c r="F27" s="3692"/>
      <c r="G27" s="3692"/>
      <c r="H27" s="3692"/>
      <c r="I27" s="3692"/>
      <c r="J27" s="3692"/>
      <c r="K27" s="3692"/>
      <c r="L27" s="3692"/>
      <c r="M27" s="3692"/>
      <c r="N27" s="3692"/>
      <c r="O27" s="3692"/>
      <c r="P27" s="3692"/>
      <c r="Q27" s="3693"/>
    </row>
    <row r="28" spans="1:17" s="2022" customFormat="1" ht="14.25">
      <c r="A28" s="3700" t="s">
        <v>1882</v>
      </c>
      <c r="B28" s="3701"/>
      <c r="C28" s="3701"/>
      <c r="D28" s="3701"/>
      <c r="E28" s="3701"/>
      <c r="F28" s="3701"/>
      <c r="G28" s="3701"/>
      <c r="H28" s="3701"/>
      <c r="I28" s="3701"/>
      <c r="J28" s="3701"/>
      <c r="K28" s="3701"/>
      <c r="L28" s="3701"/>
      <c r="M28" s="3701"/>
      <c r="N28" s="3701"/>
      <c r="O28" s="3701"/>
      <c r="P28" s="3701"/>
      <c r="Q28" s="3702"/>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3"/>
      <c r="Q31" s="3704"/>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5" t="s">
        <v>7053</v>
      </c>
      <c r="B33" s="3705"/>
      <c r="C33" s="3705"/>
      <c r="D33" s="3705"/>
      <c r="E33" s="3705"/>
      <c r="F33" s="3705"/>
      <c r="G33" s="3705"/>
      <c r="H33" s="3705"/>
      <c r="I33" s="3705"/>
      <c r="J33" s="3705"/>
      <c r="K33" s="3705"/>
      <c r="L33" s="3705"/>
      <c r="M33" s="3705"/>
      <c r="N33" s="3705"/>
      <c r="O33" s="3705"/>
      <c r="P33" s="3705"/>
      <c r="Q33" s="370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7"/>
      <c r="B35" s="3707"/>
      <c r="C35" s="3707"/>
      <c r="D35" s="3707"/>
      <c r="E35" s="3707"/>
      <c r="F35" s="3707"/>
      <c r="G35" s="3707"/>
      <c r="H35" s="3707"/>
      <c r="I35" s="3707"/>
      <c r="J35" s="3707"/>
      <c r="K35" s="3707"/>
      <c r="L35" s="3707"/>
      <c r="M35" s="3707"/>
      <c r="N35" s="3707"/>
      <c r="O35" s="3707"/>
      <c r="P35" s="3707"/>
      <c r="Q35" s="370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8"/>
      <c r="Q38" s="3709"/>
    </row>
    <row r="39" spans="1:17" ht="20.25" customHeight="1">
      <c r="A39" s="2042"/>
      <c r="B39" s="3721" t="s">
        <v>6774</v>
      </c>
      <c r="C39" s="3721"/>
      <c r="D39" s="3721"/>
      <c r="E39" s="3721"/>
      <c r="F39" s="3721"/>
      <c r="G39" s="3721"/>
      <c r="H39" s="3721"/>
      <c r="I39" s="3721"/>
      <c r="J39" s="3721"/>
      <c r="K39" s="3721"/>
      <c r="L39" s="3721"/>
      <c r="M39" s="3721"/>
      <c r="N39" s="3721"/>
      <c r="O39" s="3721"/>
      <c r="P39" s="3722" t="s">
        <v>2649</v>
      </c>
      <c r="Q39" s="3723"/>
    </row>
    <row r="40" spans="1:17" ht="20.25" customHeight="1">
      <c r="B40" s="2045" t="s">
        <v>3239</v>
      </c>
      <c r="D40" s="2045"/>
      <c r="E40" s="2045"/>
      <c r="F40" s="2045"/>
      <c r="G40" s="2045"/>
      <c r="H40" s="2043"/>
      <c r="I40" s="2031"/>
      <c r="J40" s="2031"/>
    </row>
    <row r="41" spans="1:17" ht="20.25" customHeight="1">
      <c r="A41" s="3724" t="s">
        <v>7100</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7"/>
      <c r="B43" s="3707"/>
      <c r="C43" s="3707"/>
      <c r="D43" s="3707"/>
      <c r="E43" s="3707"/>
      <c r="F43" s="3707"/>
      <c r="G43" s="3707"/>
      <c r="H43" s="3707"/>
      <c r="I43" s="3707"/>
      <c r="J43" s="3707"/>
      <c r="K43" s="3707"/>
      <c r="L43" s="3707"/>
      <c r="M43" s="3707"/>
      <c r="N43" s="3707"/>
      <c r="O43" s="3707"/>
      <c r="P43" s="3707"/>
      <c r="Q43" s="370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8"/>
      <c r="Q46" s="3712"/>
    </row>
    <row r="47" spans="1:17" ht="20.25" customHeight="1">
      <c r="A47" s="2053"/>
      <c r="B47" s="2043" t="s">
        <v>6775</v>
      </c>
      <c r="C47" s="2042"/>
      <c r="D47" s="2036"/>
      <c r="E47" s="2036"/>
      <c r="F47" s="2036"/>
      <c r="G47" s="2036"/>
      <c r="H47" s="2036"/>
      <c r="I47" s="2036"/>
      <c r="J47" s="2036"/>
      <c r="L47" s="2051"/>
      <c r="M47" s="2052"/>
      <c r="O47" s="2032"/>
      <c r="P47" s="3722" t="s">
        <v>2649</v>
      </c>
      <c r="Q47" s="372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5" t="s">
        <v>7054</v>
      </c>
      <c r="B49" s="3705"/>
      <c r="C49" s="3705"/>
      <c r="D49" s="3705"/>
      <c r="E49" s="3705"/>
      <c r="F49" s="3705"/>
      <c r="G49" s="3705"/>
      <c r="H49" s="3705"/>
      <c r="I49" s="3705"/>
      <c r="J49" s="3705"/>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8"/>
      <c r="Q52" s="3712"/>
    </row>
    <row r="53" spans="1:17" ht="33" customHeight="1">
      <c r="A53" s="2053"/>
      <c r="B53" s="3713" t="s">
        <v>2264</v>
      </c>
      <c r="C53" s="3713"/>
      <c r="D53" s="3713"/>
      <c r="E53" s="3713"/>
      <c r="F53" s="3713"/>
      <c r="G53" s="3713"/>
      <c r="H53" s="3714"/>
      <c r="I53" s="3715" t="s">
        <v>7055</v>
      </c>
      <c r="J53" s="3716"/>
      <c r="K53" s="3716"/>
      <c r="L53" s="3716"/>
      <c r="M53" s="3716"/>
      <c r="N53" s="3716"/>
      <c r="O53" s="3716"/>
      <c r="P53" s="3716"/>
      <c r="Q53" s="3717"/>
    </row>
    <row r="54" spans="1:17" ht="20.25" customHeight="1">
      <c r="A54" s="2053"/>
      <c r="B54" s="2030" t="s">
        <v>6776</v>
      </c>
      <c r="D54" s="2056"/>
      <c r="E54" s="2056"/>
      <c r="F54" s="2056"/>
      <c r="I54" s="3718">
        <v>0.95199999999999996</v>
      </c>
      <c r="J54" s="3719"/>
      <c r="K54" s="3720"/>
      <c r="L54" s="2044"/>
      <c r="M54" s="2057"/>
      <c r="N54" s="2057"/>
      <c r="O54" s="2057"/>
      <c r="P54" s="2057"/>
      <c r="Q54" s="2026"/>
    </row>
    <row r="55" spans="1:17" ht="20.25" customHeight="1">
      <c r="A55" s="2053"/>
      <c r="B55" s="2030" t="s">
        <v>6777</v>
      </c>
      <c r="D55" s="2056"/>
      <c r="E55" s="2056"/>
      <c r="F55" s="2056"/>
      <c r="H55" s="2044" t="s">
        <v>6778</v>
      </c>
      <c r="I55" s="3718">
        <v>0.152</v>
      </c>
      <c r="J55" s="3719"/>
      <c r="K55" s="3720"/>
      <c r="L55" s="2058"/>
      <c r="M55" s="2059" t="s">
        <v>6779</v>
      </c>
      <c r="N55" s="3736"/>
      <c r="O55" s="37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5" t="s">
        <v>7116</v>
      </c>
      <c r="B57" s="3705"/>
      <c r="C57" s="3705"/>
      <c r="D57" s="3705"/>
      <c r="E57" s="3705"/>
      <c r="F57" s="3705"/>
      <c r="G57" s="3705"/>
      <c r="H57" s="3705"/>
      <c r="I57" s="3705"/>
      <c r="J57" s="3705"/>
      <c r="K57" s="3705"/>
      <c r="L57" s="3705"/>
      <c r="M57" s="3705"/>
      <c r="N57" s="3705"/>
      <c r="O57" s="3705"/>
      <c r="P57" s="3705"/>
      <c r="Q57" s="3706"/>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7"/>
      <c r="Q62" s="3738"/>
    </row>
    <row r="63" spans="1:17" ht="20.25" customHeight="1">
      <c r="A63" s="2053"/>
      <c r="B63" s="2030" t="s">
        <v>6780</v>
      </c>
      <c r="I63" s="2062"/>
      <c r="J63" s="3736"/>
      <c r="K63" s="3736"/>
      <c r="L63" s="3736"/>
      <c r="M63" s="3736"/>
      <c r="N63" s="3736"/>
      <c r="O63" s="3736"/>
      <c r="P63" s="3736"/>
      <c r="Q63" s="3739"/>
    </row>
    <row r="64" spans="1:17" ht="20.25" customHeight="1">
      <c r="A64" s="2053"/>
      <c r="B64" s="2030" t="s">
        <v>3947</v>
      </c>
      <c r="O64" s="2044"/>
      <c r="P64" s="2065"/>
      <c r="Q64" s="2066"/>
    </row>
    <row r="65" spans="1:17" ht="33" customHeight="1">
      <c r="B65" s="2042"/>
      <c r="C65" s="3713" t="s">
        <v>6781</v>
      </c>
      <c r="D65" s="3713"/>
      <c r="E65" s="3713"/>
      <c r="F65" s="3713"/>
      <c r="G65" s="3713"/>
      <c r="H65" s="3713"/>
      <c r="I65" s="3713"/>
      <c r="J65" s="3713"/>
      <c r="K65" s="3713"/>
      <c r="L65" s="3713"/>
      <c r="M65" s="3713"/>
      <c r="N65" s="3713"/>
      <c r="O65" s="3713"/>
      <c r="P65" s="2065"/>
      <c r="Q65" s="2066"/>
    </row>
    <row r="66" spans="1:17" ht="33" customHeight="1">
      <c r="A66" s="2053"/>
      <c r="B66" s="2042"/>
      <c r="C66" s="3713" t="s">
        <v>6782</v>
      </c>
      <c r="D66" s="3713"/>
      <c r="E66" s="3713"/>
      <c r="F66" s="3713"/>
      <c r="G66" s="3713"/>
      <c r="H66" s="3713"/>
      <c r="I66" s="3713"/>
      <c r="J66" s="3713"/>
      <c r="K66" s="3713"/>
      <c r="L66" s="3713"/>
      <c r="M66" s="3713"/>
      <c r="N66" s="3713"/>
      <c r="O66" s="3713"/>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4" t="s">
        <v>7056</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8"/>
      <c r="Q73" s="3712"/>
    </row>
    <row r="74" spans="1:17" ht="32.25" customHeight="1">
      <c r="A74" s="2053"/>
      <c r="B74" s="3713" t="s">
        <v>6783</v>
      </c>
      <c r="C74" s="3713"/>
      <c r="D74" s="3713"/>
      <c r="E74" s="3713"/>
      <c r="F74" s="3713"/>
      <c r="G74" s="3713"/>
      <c r="H74" s="3713"/>
      <c r="I74" s="3713"/>
      <c r="J74" s="3713"/>
      <c r="K74" s="3714"/>
      <c r="L74" s="3732" t="s">
        <v>7057</v>
      </c>
      <c r="M74" s="3733"/>
      <c r="N74" s="3733"/>
      <c r="O74" s="3733"/>
      <c r="P74" s="3734"/>
      <c r="Q74" s="3735"/>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741" t="s">
        <v>6790</v>
      </c>
      <c r="C82" s="3741"/>
      <c r="D82" s="3741"/>
      <c r="E82" s="3741"/>
      <c r="F82" s="3741"/>
      <c r="G82" s="3741"/>
      <c r="H82" s="3741"/>
      <c r="I82" s="3741"/>
      <c r="J82" s="3741"/>
      <c r="K82" s="3741"/>
      <c r="L82" s="3741"/>
      <c r="M82" s="3741"/>
      <c r="N82" s="3741"/>
      <c r="O82" s="3741"/>
      <c r="P82" s="3741"/>
      <c r="Q82" s="3741"/>
    </row>
    <row r="83" spans="1:23" ht="20.25" customHeight="1">
      <c r="B83" s="3736"/>
      <c r="C83" s="3736"/>
      <c r="D83" s="3736"/>
      <c r="E83" s="3736"/>
      <c r="F83" s="3736"/>
      <c r="G83" s="3736"/>
      <c r="H83" s="3736"/>
      <c r="I83" s="3736"/>
      <c r="J83" s="3736"/>
      <c r="K83" s="3736"/>
      <c r="L83" s="3736"/>
      <c r="M83" s="3736"/>
      <c r="N83" s="3736"/>
      <c r="O83" s="3736"/>
      <c r="P83" s="3736"/>
      <c r="Q83" s="3739"/>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5" t="s">
        <v>7128</v>
      </c>
      <c r="B85" s="3705"/>
      <c r="C85" s="3705"/>
      <c r="D85" s="3705"/>
      <c r="E85" s="3705"/>
      <c r="F85" s="3705"/>
      <c r="G85" s="3705"/>
      <c r="H85" s="3705"/>
      <c r="I85" s="3705"/>
      <c r="J85" s="3705"/>
      <c r="K85" s="3705"/>
      <c r="L85" s="3705"/>
      <c r="M85" s="3705"/>
      <c r="N85" s="3705"/>
      <c r="O85" s="3705"/>
      <c r="P85" s="3705"/>
      <c r="Q85" s="3706"/>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8"/>
      <c r="Q90" s="3712"/>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2" t="s">
        <v>7059</v>
      </c>
      <c r="M91" s="3743"/>
      <c r="N91" s="3744"/>
      <c r="O91" s="3708" t="s">
        <v>1646</v>
      </c>
      <c r="P91" s="3745"/>
      <c r="Q91" s="3746"/>
    </row>
    <row r="92" spans="1:23" ht="20.25" customHeight="1">
      <c r="A92" s="2053"/>
      <c r="B92" s="2030" t="s">
        <v>636</v>
      </c>
      <c r="G92" s="3736" t="s">
        <v>7058</v>
      </c>
      <c r="H92" s="3736"/>
      <c r="I92" s="3736"/>
      <c r="J92" s="3736"/>
      <c r="K92" s="3736"/>
      <c r="L92" s="3736"/>
      <c r="M92" s="3736"/>
      <c r="N92" s="3736"/>
      <c r="O92" s="3736"/>
      <c r="P92" s="3736"/>
      <c r="Q92" s="3739"/>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5" t="s">
        <v>7117</v>
      </c>
      <c r="B94" s="3705"/>
      <c r="C94" s="3705"/>
      <c r="D94" s="3705"/>
      <c r="E94" s="3705"/>
      <c r="F94" s="3705"/>
      <c r="G94" s="3705"/>
      <c r="H94" s="3705"/>
      <c r="I94" s="3705"/>
      <c r="J94" s="3705"/>
      <c r="K94" s="3705"/>
      <c r="L94" s="3705"/>
      <c r="M94" s="3705"/>
      <c r="N94" s="3705"/>
      <c r="O94" s="3705"/>
      <c r="P94" s="3705"/>
      <c r="Q94" s="3740"/>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8"/>
      <c r="Q99" s="371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5" t="s">
        <v>7124</v>
      </c>
      <c r="B101" s="3705"/>
      <c r="C101" s="3705"/>
      <c r="D101" s="3705"/>
      <c r="E101" s="3705"/>
      <c r="F101" s="3705"/>
      <c r="G101" s="3705"/>
      <c r="H101" s="3705"/>
      <c r="I101" s="3705"/>
      <c r="J101" s="3705"/>
      <c r="K101" s="3705"/>
      <c r="L101" s="3705"/>
      <c r="M101" s="3705"/>
      <c r="N101" s="3705"/>
      <c r="O101" s="3705"/>
      <c r="P101" s="3705"/>
      <c r="Q101" s="3740"/>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7" t="s">
        <v>2427</v>
      </c>
      <c r="C106" s="3747"/>
      <c r="D106" s="3747"/>
      <c r="N106" s="2069"/>
      <c r="O106" s="2032" t="s">
        <v>1731</v>
      </c>
      <c r="P106" s="3708"/>
      <c r="Q106" s="371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5" t="s">
        <v>7099</v>
      </c>
      <c r="B108" s="3705"/>
      <c r="C108" s="3705"/>
      <c r="D108" s="3705"/>
      <c r="E108" s="3705"/>
      <c r="F108" s="3705"/>
      <c r="G108" s="3705"/>
      <c r="H108" s="3705"/>
      <c r="I108" s="3705"/>
      <c r="J108" s="3705"/>
      <c r="K108" s="3705"/>
      <c r="L108" s="3705"/>
      <c r="M108" s="3705"/>
      <c r="N108" s="3705"/>
      <c r="O108" s="3705"/>
      <c r="P108" s="3705"/>
      <c r="Q108" s="3740"/>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7"/>
      <c r="Q113" s="3738"/>
    </row>
    <row r="114" spans="1:21" ht="20.25" customHeight="1">
      <c r="A114" s="2053"/>
      <c r="B114" s="2030" t="s">
        <v>6791</v>
      </c>
      <c r="H114" s="2030" t="s">
        <v>6792</v>
      </c>
      <c r="J114" s="3751" t="s">
        <v>7060</v>
      </c>
      <c r="K114" s="3752"/>
      <c r="L114" s="3752"/>
      <c r="M114" s="3752"/>
      <c r="N114" s="3752"/>
      <c r="O114" s="3752"/>
      <c r="P114" s="3752"/>
      <c r="Q114" s="3753"/>
    </row>
    <row r="115" spans="1:21" ht="20.25" customHeight="1">
      <c r="A115" s="2053"/>
      <c r="B115" s="2053"/>
      <c r="H115" s="2030" t="s">
        <v>6793</v>
      </c>
      <c r="J115" s="3748" t="s">
        <v>7098</v>
      </c>
      <c r="K115" s="3749"/>
      <c r="L115" s="3749"/>
      <c r="M115" s="3749"/>
      <c r="N115" s="3749"/>
      <c r="O115" s="3749"/>
      <c r="P115" s="3749"/>
      <c r="Q115" s="3750"/>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5" t="s">
        <v>7125</v>
      </c>
      <c r="B117" s="3705"/>
      <c r="C117" s="3705"/>
      <c r="D117" s="3705"/>
      <c r="E117" s="3705"/>
      <c r="F117" s="3705"/>
      <c r="G117" s="3705"/>
      <c r="H117" s="3705"/>
      <c r="I117" s="3705"/>
      <c r="J117" s="3705"/>
      <c r="K117" s="3705"/>
      <c r="L117" s="3705"/>
      <c r="M117" s="3705"/>
      <c r="N117" s="3705"/>
      <c r="O117" s="3705"/>
      <c r="P117" s="3705"/>
      <c r="Q117" s="3740"/>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8"/>
      <c r="Q122" s="3712"/>
    </row>
    <row r="123" spans="1:21" ht="20.25" customHeight="1">
      <c r="A123" s="2053"/>
      <c r="B123" s="2030" t="s">
        <v>6795</v>
      </c>
      <c r="H123" s="2030" t="s">
        <v>6796</v>
      </c>
      <c r="J123" s="3751" t="s">
        <v>7061</v>
      </c>
      <c r="K123" s="3752"/>
      <c r="L123" s="3752"/>
      <c r="M123" s="3752"/>
      <c r="N123" s="3752"/>
      <c r="O123" s="3752"/>
      <c r="P123" s="3752"/>
      <c r="Q123" s="3753"/>
      <c r="R123" s="2084"/>
    </row>
    <row r="124" spans="1:21" ht="20.25" customHeight="1">
      <c r="A124" s="2083"/>
      <c r="B124" s="2053"/>
      <c r="H124" s="2030" t="s">
        <v>6797</v>
      </c>
      <c r="J124" s="3748" t="s">
        <v>7061</v>
      </c>
      <c r="K124" s="3749"/>
      <c r="L124" s="3749"/>
      <c r="M124" s="3749"/>
      <c r="N124" s="3749"/>
      <c r="O124" s="3749"/>
      <c r="P124" s="3749"/>
      <c r="Q124" s="3750"/>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5" t="s">
        <v>7126</v>
      </c>
      <c r="B126" s="3705"/>
      <c r="C126" s="3705"/>
      <c r="D126" s="3705"/>
      <c r="E126" s="3705"/>
      <c r="F126" s="3705"/>
      <c r="G126" s="3705"/>
      <c r="H126" s="3705"/>
      <c r="I126" s="3705"/>
      <c r="J126" s="3705"/>
      <c r="K126" s="3705"/>
      <c r="L126" s="3705"/>
      <c r="M126" s="3705"/>
      <c r="N126" s="3705"/>
      <c r="O126" s="3705"/>
      <c r="P126" s="3705"/>
      <c r="Q126" s="3740"/>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8"/>
      <c r="Q131" s="3712"/>
    </row>
    <row r="132" spans="1:17" ht="31.5" customHeight="1">
      <c r="A132" s="2033"/>
      <c r="B132" s="3713" t="s">
        <v>6798</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4" t="s">
        <v>7101</v>
      </c>
      <c r="N134" s="3755"/>
      <c r="O134" s="3755"/>
      <c r="P134" s="3755"/>
      <c r="Q134" s="3756"/>
    </row>
    <row r="135" spans="1:17" ht="20.25" customHeight="1">
      <c r="A135" s="2053"/>
      <c r="B135" s="2043"/>
      <c r="C135" s="2043" t="s">
        <v>6717</v>
      </c>
      <c r="E135" s="2043"/>
      <c r="F135" s="2043"/>
      <c r="G135" s="2043"/>
      <c r="H135" s="2043"/>
      <c r="J135" s="2044"/>
      <c r="K135" s="2033"/>
      <c r="L135" s="2033"/>
      <c r="M135" s="3757" t="s">
        <v>7062</v>
      </c>
      <c r="N135" s="3758"/>
      <c r="O135" s="3758"/>
      <c r="P135" s="3758"/>
      <c r="Q135" s="3759"/>
    </row>
    <row r="136" spans="1:17" ht="20.25" customHeight="1">
      <c r="A136" s="2053"/>
      <c r="B136" s="2043"/>
      <c r="C136" s="3760" t="s">
        <v>6192</v>
      </c>
      <c r="D136" s="3761"/>
      <c r="E136" s="3761"/>
      <c r="F136" s="3761"/>
      <c r="G136" s="3761"/>
      <c r="H136" s="3761"/>
      <c r="I136" s="3761"/>
      <c r="J136" s="3761"/>
      <c r="K136" s="3761"/>
      <c r="L136" s="3761"/>
      <c r="M136" s="3762"/>
      <c r="N136" s="3762"/>
      <c r="O136" s="3762"/>
      <c r="P136" s="3762"/>
      <c r="Q136" s="3763"/>
    </row>
    <row r="137" spans="1:17" ht="20.25" customHeight="1">
      <c r="A137" s="2053"/>
      <c r="B137" s="2043"/>
      <c r="C137" s="2043" t="s">
        <v>3785</v>
      </c>
      <c r="E137" s="2043"/>
      <c r="F137" s="2043"/>
      <c r="G137" s="2043"/>
      <c r="H137" s="2043"/>
      <c r="J137" s="2044"/>
      <c r="K137" s="2033"/>
      <c r="L137" s="2033"/>
      <c r="M137" s="3748" t="s">
        <v>7102</v>
      </c>
      <c r="N137" s="3749"/>
      <c r="O137" s="3749"/>
      <c r="P137" s="3749"/>
      <c r="Q137" s="3750"/>
    </row>
    <row r="138" spans="1:17" ht="20.25" customHeight="1">
      <c r="A138" s="2053" t="s">
        <v>1843</v>
      </c>
      <c r="B138" s="3713" t="s">
        <v>6800</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6801</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69" t="s">
        <v>1540</v>
      </c>
      <c r="D140" s="3770"/>
      <c r="E140" s="3770"/>
      <c r="F140" s="3770"/>
      <c r="G140" s="3770"/>
      <c r="H140" s="3771"/>
      <c r="I140" s="2033"/>
      <c r="J140" s="3781" t="s">
        <v>6802</v>
      </c>
      <c r="K140" s="3782"/>
      <c r="L140" s="3782"/>
      <c r="M140" s="3782"/>
      <c r="N140" s="3782"/>
      <c r="O140" s="3782"/>
      <c r="P140" s="3782"/>
      <c r="Q140" s="3783"/>
    </row>
    <row r="141" spans="1:17" ht="15.75" customHeight="1">
      <c r="A141" s="2026"/>
      <c r="B141" s="2078" t="s">
        <v>1615</v>
      </c>
      <c r="C141" s="3772" t="s">
        <v>3899</v>
      </c>
      <c r="D141" s="3773"/>
      <c r="E141" s="3773"/>
      <c r="F141" s="3773"/>
      <c r="G141" s="3773"/>
      <c r="H141" s="3774"/>
      <c r="I141" s="2033"/>
      <c r="J141" s="3778" t="s">
        <v>6802</v>
      </c>
      <c r="K141" s="3779"/>
      <c r="L141" s="3779"/>
      <c r="M141" s="3779"/>
      <c r="N141" s="3779"/>
      <c r="O141" s="3779"/>
      <c r="P141" s="3779"/>
      <c r="Q141" s="3780"/>
    </row>
    <row r="142" spans="1:17" ht="15.75" customHeight="1">
      <c r="A142" s="2026"/>
      <c r="B142" s="2078" t="s">
        <v>1616</v>
      </c>
      <c r="C142" s="3772" t="s">
        <v>3849</v>
      </c>
      <c r="D142" s="3773"/>
      <c r="E142" s="3773"/>
      <c r="F142" s="3773"/>
      <c r="G142" s="3773"/>
      <c r="H142" s="3774"/>
      <c r="I142" s="2033"/>
      <c r="J142" s="3778" t="s">
        <v>6802</v>
      </c>
      <c r="K142" s="3779"/>
      <c r="L142" s="3779"/>
      <c r="M142" s="3779"/>
      <c r="N142" s="3779"/>
      <c r="O142" s="3779"/>
      <c r="P142" s="3779"/>
      <c r="Q142" s="3780"/>
    </row>
    <row r="143" spans="1:17" ht="15.75" customHeight="1">
      <c r="A143" s="2026"/>
      <c r="B143" s="2078" t="s">
        <v>2182</v>
      </c>
      <c r="C143" s="3764" t="s">
        <v>3850</v>
      </c>
      <c r="D143" s="3765"/>
      <c r="E143" s="3765"/>
      <c r="F143" s="3765"/>
      <c r="G143" s="3765"/>
      <c r="H143" s="3766"/>
      <c r="I143" s="2033"/>
      <c r="J143" s="3775" t="s">
        <v>6802</v>
      </c>
      <c r="K143" s="3776"/>
      <c r="L143" s="3776"/>
      <c r="M143" s="3776"/>
      <c r="N143" s="3776"/>
      <c r="O143" s="3776"/>
      <c r="P143" s="3776"/>
      <c r="Q143" s="3777"/>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5" t="s">
        <v>7063</v>
      </c>
      <c r="B145" s="3705"/>
      <c r="C145" s="3705"/>
      <c r="D145" s="3705"/>
      <c r="E145" s="3705"/>
      <c r="F145" s="3705"/>
      <c r="G145" s="3705"/>
      <c r="H145" s="3705"/>
      <c r="I145" s="3705"/>
      <c r="J145" s="3705"/>
      <c r="K145" s="3705"/>
      <c r="L145" s="3705"/>
      <c r="M145" s="3705"/>
      <c r="N145" s="3705"/>
      <c r="O145" s="3705"/>
      <c r="P145" s="3705"/>
      <c r="Q145" s="3740"/>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7"/>
      <c r="Q150" s="3738"/>
    </row>
    <row r="151" spans="1:18" ht="20.25" customHeight="1">
      <c r="A151" s="2033"/>
      <c r="B151" s="2030" t="s">
        <v>6803</v>
      </c>
      <c r="C151" s="2033"/>
      <c r="D151" s="2033"/>
      <c r="E151" s="2033"/>
      <c r="F151" s="2033"/>
      <c r="G151" s="2033"/>
      <c r="H151" s="2033"/>
      <c r="I151" s="2033"/>
      <c r="J151" s="2033"/>
      <c r="K151" s="2033"/>
      <c r="L151" s="2033"/>
      <c r="M151" s="2033"/>
      <c r="N151" s="2031"/>
      <c r="O151" s="2033"/>
      <c r="P151" s="3767"/>
      <c r="Q151" s="3768"/>
    </row>
    <row r="152" spans="1:18" ht="20.25" customHeight="1">
      <c r="A152" s="2053"/>
      <c r="B152" s="2030" t="s">
        <v>1192</v>
      </c>
      <c r="G152" s="2033"/>
      <c r="H152" s="3791" t="s">
        <v>1646</v>
      </c>
      <c r="I152" s="3792"/>
      <c r="J152" s="3792"/>
      <c r="K152" s="3792"/>
      <c r="L152" s="3792"/>
      <c r="M152" s="3792"/>
      <c r="N152" s="3792"/>
      <c r="O152" s="3792"/>
      <c r="P152" s="3793"/>
      <c r="Q152" s="3794"/>
      <c r="R152" s="2062"/>
    </row>
    <row r="153" spans="1:18" ht="20.25" customHeight="1">
      <c r="A153" s="2053"/>
      <c r="B153" s="2030" t="s">
        <v>1806</v>
      </c>
      <c r="G153" s="2033"/>
      <c r="H153" s="3795"/>
      <c r="I153" s="3796"/>
      <c r="J153" s="3796"/>
      <c r="K153" s="3796"/>
      <c r="L153" s="3796"/>
      <c r="M153" s="3796"/>
      <c r="N153" s="3796"/>
      <c r="O153" s="3796"/>
      <c r="P153" s="3796"/>
      <c r="Q153" s="3797"/>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5" t="s">
        <v>7064</v>
      </c>
      <c r="B155" s="3705"/>
      <c r="C155" s="3705"/>
      <c r="D155" s="3705"/>
      <c r="E155" s="3705"/>
      <c r="F155" s="3705"/>
      <c r="G155" s="3705"/>
      <c r="H155" s="3705"/>
      <c r="I155" s="3705"/>
      <c r="J155" s="3705"/>
      <c r="K155" s="3705"/>
      <c r="L155" s="3705"/>
      <c r="M155" s="3705"/>
      <c r="N155" s="3705"/>
      <c r="O155" s="3705"/>
      <c r="P155" s="3705"/>
      <c r="Q155" s="3740"/>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1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5" t="s">
        <v>7065</v>
      </c>
      <c r="B162" s="3705"/>
      <c r="C162" s="3705"/>
      <c r="D162" s="3705"/>
      <c r="E162" s="3705"/>
      <c r="F162" s="3705"/>
      <c r="G162" s="3705"/>
      <c r="H162" s="3705"/>
      <c r="I162" s="3705"/>
      <c r="J162" s="3705"/>
      <c r="K162" s="3705"/>
      <c r="L162" s="3705"/>
      <c r="M162" s="3705"/>
      <c r="N162" s="3705"/>
      <c r="O162" s="3705"/>
      <c r="P162" s="3705"/>
      <c r="Q162" s="3740"/>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8"/>
      <c r="Q167" s="3712"/>
    </row>
    <row r="168" spans="1:17" ht="20.25" customHeight="1">
      <c r="A168" s="2053" t="s">
        <v>1841</v>
      </c>
      <c r="B168" s="2029" t="s">
        <v>6197</v>
      </c>
      <c r="G168" s="2033"/>
      <c r="J168" s="2033"/>
      <c r="K168" s="2033"/>
      <c r="L168" s="2033"/>
      <c r="M168" s="2033"/>
      <c r="N168" s="2033"/>
      <c r="O168" s="2044"/>
      <c r="P168" s="2033"/>
      <c r="Q168" s="2033"/>
    </row>
    <row r="169" spans="1:17" ht="33" customHeight="1">
      <c r="B169" s="3788" t="s">
        <v>6804</v>
      </c>
      <c r="C169" s="3788"/>
      <c r="D169" s="3788"/>
      <c r="E169" s="3788"/>
      <c r="F169" s="3788"/>
      <c r="G169" s="3788"/>
      <c r="H169" s="3788"/>
      <c r="I169" s="3788"/>
      <c r="J169" s="3788"/>
      <c r="K169" s="3788"/>
      <c r="L169" s="3788"/>
      <c r="M169" s="3788"/>
      <c r="N169" s="3788"/>
      <c r="O169" s="3798"/>
      <c r="P169" s="3784" t="s">
        <v>7066</v>
      </c>
      <c r="Q169" s="3785"/>
    </row>
    <row r="170" spans="1:17" ht="20.25" customHeight="1">
      <c r="A170" s="2053" t="s">
        <v>1843</v>
      </c>
      <c r="B170" s="2029" t="s">
        <v>297</v>
      </c>
      <c r="G170" s="2033"/>
      <c r="H170" s="3786" t="s">
        <v>3253</v>
      </c>
      <c r="I170" s="3786"/>
      <c r="J170" s="3786"/>
      <c r="K170" s="3786"/>
      <c r="L170" s="3786"/>
      <c r="M170" s="3786"/>
      <c r="N170" s="3786"/>
      <c r="O170" s="3786"/>
      <c r="P170" s="3787"/>
      <c r="Q170" s="3787"/>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8" t="s">
        <v>6198</v>
      </c>
      <c r="C172" s="3788"/>
      <c r="D172" s="3788"/>
      <c r="E172" s="3788"/>
      <c r="F172" s="3788"/>
      <c r="G172" s="3788"/>
      <c r="H172" s="3788"/>
      <c r="I172" s="3788"/>
      <c r="J172" s="3788"/>
      <c r="K172" s="3788"/>
      <c r="L172" s="3788"/>
      <c r="M172" s="3788"/>
      <c r="N172" s="2439" t="s">
        <v>6199</v>
      </c>
      <c r="O172" s="2078" t="s">
        <v>698</v>
      </c>
      <c r="P172" s="3789" t="s">
        <v>7066</v>
      </c>
      <c r="Q172" s="3790"/>
    </row>
    <row r="173" spans="1:17" ht="20.25" customHeight="1">
      <c r="B173" s="2060" t="s">
        <v>3239</v>
      </c>
      <c r="M173" s="2031"/>
      <c r="N173" s="2031"/>
      <c r="O173" s="2088"/>
      <c r="P173" s="2026"/>
    </row>
    <row r="174" spans="1:17" ht="20.25" customHeight="1">
      <c r="A174" s="3705" t="s">
        <v>7067</v>
      </c>
      <c r="B174" s="3705"/>
      <c r="C174" s="3705"/>
      <c r="D174" s="3705"/>
      <c r="E174" s="3705"/>
      <c r="F174" s="3705"/>
      <c r="G174" s="3705"/>
      <c r="H174" s="3705"/>
      <c r="I174" s="3705"/>
      <c r="J174" s="3705"/>
      <c r="K174" s="3705"/>
      <c r="L174" s="3705"/>
      <c r="M174" s="3705"/>
      <c r="N174" s="3705"/>
      <c r="O174" s="3705"/>
      <c r="P174" s="3705"/>
      <c r="Q174" s="3740"/>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7"/>
      <c r="Q179" s="3805"/>
    </row>
    <row r="180" spans="1:17" ht="20.25" customHeight="1">
      <c r="A180" s="2033"/>
      <c r="B180" s="2030" t="s">
        <v>6803</v>
      </c>
      <c r="C180" s="2033"/>
      <c r="D180" s="2033"/>
      <c r="E180" s="2033"/>
      <c r="F180" s="2033"/>
      <c r="G180" s="2033"/>
      <c r="H180" s="2033"/>
      <c r="I180" s="2033"/>
      <c r="J180" s="2033"/>
      <c r="K180" s="2033"/>
      <c r="L180" s="2033"/>
      <c r="M180" s="2033"/>
      <c r="N180" s="2031"/>
      <c r="O180" s="2033"/>
      <c r="P180" s="3767" t="s">
        <v>2652</v>
      </c>
      <c r="Q180" s="3800"/>
    </row>
    <row r="181" spans="1:17" ht="33.75" customHeight="1">
      <c r="A181" s="2033"/>
      <c r="B181" s="3713" t="s">
        <v>6805</v>
      </c>
      <c r="C181" s="3713"/>
      <c r="D181" s="3713"/>
      <c r="E181" s="3713"/>
      <c r="F181" s="3713"/>
      <c r="G181" s="3713"/>
      <c r="H181" s="3713"/>
      <c r="I181" s="3713"/>
      <c r="J181" s="3713"/>
      <c r="K181" s="3713"/>
      <c r="L181" s="3713"/>
      <c r="M181" s="3713"/>
      <c r="N181" s="3713"/>
      <c r="O181" s="3713"/>
      <c r="P181" s="3803" t="s">
        <v>7066</v>
      </c>
      <c r="Q181" s="3806"/>
    </row>
    <row r="182" spans="1:17" ht="12" customHeight="1">
      <c r="A182" s="2033"/>
      <c r="C182" s="2033"/>
      <c r="D182" s="2033"/>
      <c r="E182" s="2033"/>
      <c r="F182" s="2033"/>
      <c r="G182" s="2033"/>
      <c r="H182" s="2033"/>
      <c r="I182" s="2033"/>
      <c r="J182" s="2033"/>
      <c r="K182" s="2033"/>
      <c r="L182" s="3799" t="s">
        <v>6806</v>
      </c>
      <c r="M182" s="379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7">
        <v>3</v>
      </c>
      <c r="Q184" s="3800"/>
    </row>
    <row r="185" spans="1:17" ht="20.25" customHeight="1">
      <c r="A185" s="2053"/>
      <c r="B185" s="2043"/>
      <c r="D185" s="3713" t="s">
        <v>6810</v>
      </c>
      <c r="E185" s="3713"/>
      <c r="F185" s="3713"/>
      <c r="G185" s="3713"/>
      <c r="H185" s="3713"/>
      <c r="I185" s="3713"/>
      <c r="J185" s="3713"/>
      <c r="K185" s="2093"/>
      <c r="L185" s="2096">
        <f>ROUNDUP(L184*M185,0)</f>
        <v>2</v>
      </c>
      <c r="M185" s="2095">
        <f>'DCA Underwriting Assumptions'!$Q$123</f>
        <v>0.4</v>
      </c>
      <c r="N185" s="2033"/>
      <c r="O185" s="2044"/>
      <c r="P185" s="3801">
        <v>2</v>
      </c>
      <c r="Q185" s="3802"/>
    </row>
    <row r="186" spans="1:17" ht="20.25" customHeight="1">
      <c r="A186" s="2053"/>
      <c r="B186" s="3713" t="s">
        <v>6811</v>
      </c>
      <c r="C186" s="3713"/>
      <c r="D186" s="3713"/>
      <c r="E186" s="3713"/>
      <c r="F186" s="3713"/>
      <c r="G186" s="3713"/>
      <c r="H186" s="3713"/>
      <c r="I186" s="3713"/>
      <c r="J186" s="3713"/>
      <c r="K186" s="2033"/>
      <c r="L186" s="2097">
        <f>ROUNDUP('Part V-Revenues &amp; Expenses'!$P$67*M186,0)</f>
        <v>1</v>
      </c>
      <c r="M186" s="2095">
        <f>'DCA Underwriting Assumptions'!$Q$124</f>
        <v>0.02</v>
      </c>
      <c r="N186" s="2033"/>
      <c r="O186" s="2044"/>
      <c r="P186" s="3803">
        <v>1</v>
      </c>
      <c r="Q186" s="3804"/>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5" t="s">
        <v>7068</v>
      </c>
      <c r="B188" s="3705"/>
      <c r="C188" s="3705"/>
      <c r="D188" s="3705"/>
      <c r="E188" s="3705"/>
      <c r="F188" s="3705"/>
      <c r="G188" s="3705"/>
      <c r="H188" s="3705"/>
      <c r="I188" s="3705"/>
      <c r="J188" s="3705"/>
      <c r="K188" s="3705"/>
      <c r="L188" s="3705"/>
      <c r="M188" s="3705"/>
      <c r="N188" s="3705"/>
      <c r="O188" s="3705"/>
      <c r="P188" s="3705"/>
      <c r="Q188" s="3706"/>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8"/>
      <c r="Q193" s="3709"/>
    </row>
    <row r="194" spans="1:17" ht="20.25" customHeight="1">
      <c r="B194" s="2030" t="s">
        <v>6803</v>
      </c>
      <c r="P194" s="3767" t="s">
        <v>2652</v>
      </c>
      <c r="Q194" s="3800"/>
    </row>
    <row r="195" spans="1:17" ht="36" customHeight="1">
      <c r="B195" s="3713" t="s">
        <v>6812</v>
      </c>
      <c r="C195" s="3713"/>
      <c r="D195" s="3713"/>
      <c r="E195" s="3713"/>
      <c r="F195" s="3713"/>
      <c r="G195" s="3713"/>
      <c r="H195" s="3713"/>
      <c r="I195" s="3713"/>
      <c r="J195" s="3713"/>
      <c r="K195" s="3713"/>
      <c r="L195" s="3713"/>
      <c r="M195" s="3713"/>
      <c r="N195" s="3713"/>
      <c r="P195" s="3803" t="s">
        <v>2649</v>
      </c>
      <c r="Q195" s="3804"/>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8" t="s">
        <v>6911</v>
      </c>
      <c r="D197" s="3788"/>
      <c r="E197" s="3788"/>
      <c r="F197" s="3715" t="s">
        <v>6304</v>
      </c>
      <c r="G197" s="3716"/>
      <c r="H197" s="3716"/>
      <c r="I197" s="3716"/>
      <c r="J197" s="3716"/>
      <c r="K197" s="3716"/>
      <c r="L197" s="3716"/>
      <c r="M197" s="3716"/>
      <c r="N197" s="3716"/>
      <c r="O197" s="3716"/>
      <c r="P197" s="3716"/>
      <c r="Q197" s="3717"/>
    </row>
    <row r="198" spans="1:17" ht="30" customHeight="1">
      <c r="B198" s="2078" t="s">
        <v>1615</v>
      </c>
      <c r="C198" s="3788" t="s">
        <v>6912</v>
      </c>
      <c r="D198" s="3788"/>
      <c r="E198" s="3788"/>
      <c r="F198" s="3788"/>
      <c r="G198" s="3798"/>
      <c r="H198" s="3715" t="s">
        <v>3248</v>
      </c>
      <c r="I198" s="3716"/>
      <c r="J198" s="3716"/>
      <c r="K198" s="3716"/>
      <c r="L198" s="3716"/>
      <c r="M198" s="3716"/>
      <c r="N198" s="3716"/>
      <c r="O198" s="3716"/>
      <c r="P198" s="3716"/>
      <c r="Q198" s="3717"/>
    </row>
    <row r="199" spans="1:17" ht="20.25" customHeight="1">
      <c r="A199" s="2053"/>
      <c r="B199" s="2078" t="s">
        <v>1616</v>
      </c>
      <c r="C199" s="3713" t="s">
        <v>6813</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791"/>
      <c r="D200" s="3791"/>
      <c r="E200" s="3791"/>
      <c r="F200" s="3791"/>
      <c r="G200" s="3791"/>
      <c r="H200" s="3791"/>
      <c r="I200" s="3791"/>
      <c r="J200" s="3791"/>
      <c r="K200" s="3791"/>
      <c r="L200" s="3791"/>
      <c r="M200" s="3791"/>
      <c r="N200" s="3791"/>
      <c r="O200" s="3791"/>
      <c r="P200" s="3791"/>
      <c r="Q200" s="3807"/>
    </row>
    <row r="201" spans="1:17" ht="20.25" customHeight="1">
      <c r="A201" s="2053"/>
      <c r="B201" s="2044"/>
      <c r="C201" s="3795"/>
      <c r="D201" s="3795"/>
      <c r="E201" s="3795"/>
      <c r="F201" s="3795"/>
      <c r="G201" s="3795"/>
      <c r="H201" s="3795"/>
      <c r="I201" s="3795"/>
      <c r="J201" s="3795"/>
      <c r="K201" s="3795"/>
      <c r="L201" s="3795"/>
      <c r="M201" s="3795"/>
      <c r="N201" s="3795"/>
      <c r="O201" s="3795"/>
      <c r="P201" s="3795"/>
      <c r="Q201" s="3812"/>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5" t="s">
        <v>7069</v>
      </c>
      <c r="B203" s="3705"/>
      <c r="C203" s="3705"/>
      <c r="D203" s="3705"/>
      <c r="E203" s="3705"/>
      <c r="F203" s="3705"/>
      <c r="G203" s="3705"/>
      <c r="H203" s="3705"/>
      <c r="I203" s="3705"/>
      <c r="J203" s="3705"/>
      <c r="K203" s="3705"/>
      <c r="L203" s="3705"/>
      <c r="M203" s="3705"/>
      <c r="N203" s="3705"/>
      <c r="O203" s="3705"/>
      <c r="P203" s="3705"/>
      <c r="Q203" s="3706"/>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7"/>
      <c r="Q208" s="3805"/>
    </row>
    <row r="209" spans="1:17" ht="20.25" customHeight="1">
      <c r="A209" s="2053"/>
      <c r="B209" s="2030" t="s">
        <v>6814</v>
      </c>
      <c r="O209" s="2044"/>
      <c r="P209" s="3813" t="s">
        <v>7070</v>
      </c>
      <c r="Q209" s="3814"/>
    </row>
    <row r="210" spans="1:17" ht="20.25" customHeight="1">
      <c r="A210" s="2053"/>
      <c r="B210" s="2030" t="s">
        <v>6815</v>
      </c>
      <c r="O210" s="2044"/>
      <c r="P210" s="3808" t="s">
        <v>7070</v>
      </c>
      <c r="Q210" s="3809"/>
    </row>
    <row r="211" spans="1:17" ht="22.5" customHeight="1">
      <c r="A211" s="2053"/>
      <c r="B211" s="2030" t="s">
        <v>6816</v>
      </c>
      <c r="C211" s="2033"/>
      <c r="K211" s="2031"/>
      <c r="M211" s="2044"/>
      <c r="O211" s="2100"/>
      <c r="P211" s="3808" t="s">
        <v>2652</v>
      </c>
      <c r="Q211" s="3809"/>
    </row>
    <row r="212" spans="1:17" ht="31.5" customHeight="1">
      <c r="A212" s="2053"/>
      <c r="B212" s="3713" t="s">
        <v>6817</v>
      </c>
      <c r="C212" s="3713"/>
      <c r="D212" s="3713"/>
      <c r="E212" s="3713"/>
      <c r="F212" s="3713"/>
      <c r="G212" s="3713"/>
      <c r="H212" s="3713"/>
      <c r="I212" s="3713"/>
      <c r="J212" s="3713"/>
      <c r="K212" s="3713"/>
      <c r="L212" s="3713"/>
      <c r="M212" s="3713"/>
      <c r="N212" s="3713"/>
      <c r="O212" s="3713"/>
      <c r="P212" s="3810" t="s">
        <v>2652</v>
      </c>
      <c r="Q212" s="3811"/>
    </row>
    <row r="213" spans="1:17" ht="20.25" customHeight="1">
      <c r="A213" s="2053"/>
      <c r="B213" s="2030" t="s">
        <v>6818</v>
      </c>
      <c r="M213" s="2033"/>
      <c r="N213" s="2033"/>
      <c r="O213" s="3815" t="s">
        <v>4047</v>
      </c>
      <c r="P213" s="3816"/>
      <c r="Q213" s="3817"/>
    </row>
    <row r="214" spans="1:17" ht="20.25" customHeight="1">
      <c r="A214" s="2053"/>
      <c r="B214" s="2029" t="s">
        <v>6819</v>
      </c>
      <c r="G214" s="3708"/>
      <c r="H214" s="3745"/>
      <c r="I214" s="3745"/>
      <c r="J214" s="3745"/>
      <c r="K214" s="3745"/>
      <c r="L214" s="3746"/>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4" t="s">
        <v>7071</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8"/>
      <c r="Q221" s="3709"/>
    </row>
    <row r="222" spans="1:17" ht="33.75" customHeight="1">
      <c r="A222" s="2042"/>
      <c r="B222" s="3713" t="s">
        <v>6820</v>
      </c>
      <c r="C222" s="3713"/>
      <c r="D222" s="3713"/>
      <c r="E222" s="3713"/>
      <c r="F222" s="3713"/>
      <c r="G222" s="3713"/>
      <c r="H222" s="3713"/>
      <c r="I222" s="3713"/>
      <c r="J222" s="3713"/>
      <c r="K222" s="3713"/>
      <c r="L222" s="3713"/>
      <c r="M222" s="3713"/>
      <c r="N222" s="3713"/>
      <c r="O222" s="3714"/>
      <c r="P222" s="3825"/>
      <c r="Q222" s="3826"/>
    </row>
    <row r="223" spans="1:17" s="2102" customFormat="1" ht="33.75" customHeight="1">
      <c r="A223" s="2071" t="s">
        <v>1841</v>
      </c>
      <c r="B223" s="3827" t="s">
        <v>6821</v>
      </c>
      <c r="C223" s="3827"/>
      <c r="D223" s="3827"/>
      <c r="E223" s="3827"/>
      <c r="F223" s="3827"/>
      <c r="G223" s="3827"/>
      <c r="H223" s="3827"/>
      <c r="I223" s="3827"/>
      <c r="J223" s="3827"/>
      <c r="K223" s="3827"/>
      <c r="L223" s="3827"/>
      <c r="M223" s="3827"/>
      <c r="N223" s="3827"/>
      <c r="O223" s="3827"/>
      <c r="P223" s="2063"/>
      <c r="Q223" s="2440"/>
    </row>
    <row r="224" spans="1:17" ht="47.25" customHeight="1">
      <c r="A224" s="2071" t="s">
        <v>1843</v>
      </c>
      <c r="B224" s="3788" t="s">
        <v>6822</v>
      </c>
      <c r="C224" s="3788"/>
      <c r="D224" s="3788"/>
      <c r="E224" s="3788"/>
      <c r="F224" s="3788"/>
      <c r="G224" s="3788"/>
      <c r="H224" s="3788"/>
      <c r="I224" s="3788"/>
      <c r="J224" s="3788"/>
      <c r="K224" s="3788"/>
      <c r="L224" s="3788"/>
      <c r="M224" s="3788"/>
      <c r="N224" s="3788"/>
      <c r="O224" s="3788"/>
      <c r="P224" s="2063"/>
      <c r="Q224" s="2064"/>
    </row>
    <row r="225" spans="1:17" ht="20.25" customHeight="1">
      <c r="A225" s="2053" t="s">
        <v>698</v>
      </c>
      <c r="B225" s="3818" t="s">
        <v>6823</v>
      </c>
      <c r="C225" s="3818"/>
      <c r="D225" s="3818"/>
      <c r="E225" s="3818"/>
      <c r="F225" s="3818"/>
      <c r="G225" s="3818"/>
      <c r="H225" s="3818"/>
      <c r="I225" s="3818"/>
      <c r="J225" s="3818"/>
      <c r="K225" s="3818"/>
      <c r="L225" s="3818"/>
      <c r="M225" s="3818"/>
      <c r="N225" s="3818"/>
      <c r="O225" s="3818"/>
      <c r="P225" s="2063"/>
      <c r="Q225" s="2064"/>
    </row>
    <row r="226" spans="1:17" ht="33.75" customHeight="1">
      <c r="A226" s="2071" t="s">
        <v>1962</v>
      </c>
      <c r="B226" s="3788" t="s">
        <v>6824</v>
      </c>
      <c r="C226" s="3788"/>
      <c r="D226" s="3788"/>
      <c r="E226" s="3788"/>
      <c r="F226" s="3788"/>
      <c r="G226" s="3788"/>
      <c r="H226" s="3788"/>
      <c r="I226" s="3788"/>
      <c r="J226" s="3788"/>
      <c r="K226" s="3788"/>
      <c r="L226" s="3788"/>
      <c r="M226" s="3788"/>
      <c r="N226" s="3788"/>
      <c r="O226" s="3788"/>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4" t="s">
        <v>7072</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19"/>
      <c r="C230" s="3819"/>
      <c r="D230" s="3819"/>
      <c r="E230" s="3819"/>
      <c r="F230" s="3819"/>
      <c r="G230" s="3819"/>
      <c r="H230" s="3819"/>
      <c r="I230" s="3819"/>
      <c r="J230" s="3819"/>
      <c r="K230" s="3819"/>
      <c r="L230" s="3819"/>
      <c r="M230" s="3819"/>
      <c r="N230" s="3819"/>
      <c r="O230" s="3819"/>
      <c r="P230" s="3819"/>
      <c r="Q230" s="3820"/>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8"/>
      <c r="Q233" s="3746"/>
    </row>
    <row r="234" spans="1:17" ht="20.25" customHeight="1">
      <c r="A234" s="2053"/>
      <c r="B234" s="3818" t="s">
        <v>3358</v>
      </c>
      <c r="C234" s="3818"/>
      <c r="D234" s="3818"/>
      <c r="E234" s="3818"/>
      <c r="F234" s="3821"/>
      <c r="G234" s="3822"/>
      <c r="H234" s="3823"/>
      <c r="I234" s="3823"/>
      <c r="J234" s="3823"/>
      <c r="K234" s="3823"/>
      <c r="L234" s="3823"/>
      <c r="M234" s="3823"/>
      <c r="N234" s="3823"/>
      <c r="O234" s="3823"/>
      <c r="P234" s="3823"/>
      <c r="Q234" s="3824"/>
    </row>
    <row r="235" spans="1:17" ht="20.25" customHeight="1" thickBot="1">
      <c r="A235" s="2053"/>
      <c r="B235" s="3818" t="s">
        <v>3359</v>
      </c>
      <c r="C235" s="3818"/>
      <c r="D235" s="3818"/>
      <c r="E235" s="3818"/>
      <c r="F235" s="3821"/>
      <c r="G235" s="3832"/>
      <c r="H235" s="3833"/>
      <c r="I235" s="3833"/>
      <c r="J235" s="3833"/>
      <c r="K235" s="3833"/>
      <c r="L235" s="3833"/>
      <c r="M235" s="3833"/>
      <c r="N235" s="3833"/>
      <c r="O235" s="3833"/>
      <c r="P235" s="3834"/>
      <c r="Q235" s="3835"/>
    </row>
    <row r="236" spans="1:17" ht="20.25" customHeight="1" thickBot="1">
      <c r="A236" s="2053"/>
      <c r="B236" s="2030" t="s">
        <v>6825</v>
      </c>
      <c r="D236" s="2083"/>
      <c r="E236" s="2083"/>
      <c r="F236" s="2083"/>
      <c r="G236" s="2084"/>
      <c r="H236" s="2084"/>
      <c r="I236" s="2084"/>
      <c r="J236" s="2084"/>
      <c r="K236" s="2084"/>
      <c r="L236" s="2084"/>
      <c r="M236" s="2084"/>
      <c r="N236" s="2084"/>
      <c r="O236" s="2084"/>
      <c r="P236" s="3836"/>
      <c r="Q236" s="3837"/>
    </row>
    <row r="237" spans="1:17" ht="29.25" customHeight="1">
      <c r="A237" s="2053"/>
      <c r="B237" s="2104" t="s">
        <v>1963</v>
      </c>
      <c r="C237" s="3788" t="s">
        <v>6826</v>
      </c>
      <c r="D237" s="3788"/>
      <c r="E237" s="3788"/>
      <c r="F237" s="3788"/>
      <c r="G237" s="3788"/>
      <c r="H237" s="3788"/>
      <c r="I237" s="3788"/>
      <c r="J237" s="3788"/>
      <c r="K237" s="3788"/>
      <c r="L237" s="3788"/>
      <c r="M237" s="3788"/>
      <c r="N237" s="3788"/>
      <c r="O237" s="3788"/>
      <c r="P237" s="3788"/>
      <c r="Q237" s="3788"/>
    </row>
    <row r="238" spans="1:17" ht="29.25" customHeight="1">
      <c r="A238" s="2053"/>
      <c r="B238" s="2104" t="s">
        <v>1964</v>
      </c>
      <c r="C238" s="3788" t="s">
        <v>6827</v>
      </c>
      <c r="D238" s="3788"/>
      <c r="E238" s="3788"/>
      <c r="F238" s="3788"/>
      <c r="G238" s="3788"/>
      <c r="H238" s="3788"/>
      <c r="I238" s="3788"/>
      <c r="J238" s="3788"/>
      <c r="K238" s="3788"/>
      <c r="L238" s="3788"/>
      <c r="M238" s="3788"/>
      <c r="N238" s="3788"/>
      <c r="O238" s="3788"/>
      <c r="P238" s="3788"/>
      <c r="Q238" s="3788"/>
    </row>
    <row r="239" spans="1:17" ht="15.75" customHeight="1">
      <c r="A239" s="2053"/>
      <c r="B239" s="2104" t="s">
        <v>1611</v>
      </c>
      <c r="C239" s="3788" t="s">
        <v>6828</v>
      </c>
      <c r="D239" s="3788"/>
      <c r="E239" s="3788"/>
      <c r="F239" s="3788"/>
      <c r="G239" s="3788"/>
      <c r="H239" s="3788"/>
      <c r="I239" s="3788"/>
      <c r="J239" s="3788"/>
      <c r="K239" s="3788"/>
      <c r="L239" s="3788"/>
      <c r="M239" s="3788"/>
      <c r="N239" s="3788"/>
      <c r="O239" s="3788"/>
      <c r="P239" s="3788"/>
      <c r="Q239" s="3788"/>
    </row>
    <row r="240" spans="1:17" ht="29.25" customHeight="1">
      <c r="A240" s="2053"/>
      <c r="B240" s="2104" t="s">
        <v>3864</v>
      </c>
      <c r="C240" s="3788" t="s">
        <v>6829</v>
      </c>
      <c r="D240" s="3788"/>
      <c r="E240" s="3788"/>
      <c r="F240" s="3788"/>
      <c r="G240" s="3788"/>
      <c r="H240" s="3788"/>
      <c r="I240" s="3788"/>
      <c r="J240" s="3788"/>
      <c r="K240" s="3788"/>
      <c r="L240" s="3788"/>
      <c r="M240" s="3788"/>
      <c r="N240" s="3788"/>
      <c r="O240" s="3788"/>
      <c r="P240" s="3788"/>
      <c r="Q240" s="3788"/>
    </row>
    <row r="241" spans="1:17" ht="15.75" customHeight="1">
      <c r="A241" s="2053"/>
      <c r="B241" s="2104" t="s">
        <v>6830</v>
      </c>
      <c r="C241" s="3788" t="s">
        <v>6831</v>
      </c>
      <c r="D241" s="3788"/>
      <c r="E241" s="3788"/>
      <c r="F241" s="3788"/>
      <c r="G241" s="3788"/>
      <c r="H241" s="3788"/>
      <c r="I241" s="3788"/>
      <c r="J241" s="3788"/>
      <c r="K241" s="3788"/>
      <c r="L241" s="3788"/>
      <c r="M241" s="3788"/>
      <c r="N241" s="3788"/>
      <c r="O241" s="3788"/>
      <c r="P241" s="3788"/>
      <c r="Q241" s="3788"/>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5" t="s">
        <v>7073</v>
      </c>
      <c r="B244" s="3828"/>
      <c r="C244" s="3828"/>
      <c r="D244" s="3828"/>
      <c r="E244" s="3828"/>
      <c r="F244" s="3828"/>
      <c r="G244" s="3828"/>
      <c r="H244" s="3828"/>
      <c r="I244" s="3828"/>
      <c r="J244" s="3828"/>
      <c r="K244" s="3828"/>
      <c r="L244" s="3828"/>
      <c r="M244" s="3828"/>
      <c r="N244" s="3828"/>
      <c r="O244" s="3828"/>
      <c r="P244" s="3828"/>
      <c r="Q244" s="382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30"/>
      <c r="C246" s="3830"/>
      <c r="D246" s="3830"/>
      <c r="E246" s="3830"/>
      <c r="F246" s="3830"/>
      <c r="G246" s="3830"/>
      <c r="H246" s="3830"/>
      <c r="I246" s="3830"/>
      <c r="J246" s="3830"/>
      <c r="K246" s="3830"/>
      <c r="L246" s="3830"/>
      <c r="M246" s="3830"/>
      <c r="N246" s="3830"/>
      <c r="O246" s="3830"/>
      <c r="P246" s="3830"/>
      <c r="Q246" s="3831"/>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8"/>
      <c r="Q249" s="3746"/>
    </row>
    <row r="250" spans="1:17" ht="20.25" customHeight="1">
      <c r="A250" s="2053"/>
      <c r="B250" s="2030" t="s">
        <v>2438</v>
      </c>
      <c r="D250" s="2056"/>
      <c r="E250" s="2056"/>
      <c r="O250" s="2044"/>
      <c r="P250" s="3767"/>
      <c r="Q250" s="3768"/>
    </row>
    <row r="251" spans="1:17" ht="20.25" customHeight="1">
      <c r="A251" s="2053"/>
      <c r="B251" s="2030" t="s">
        <v>3142</v>
      </c>
      <c r="D251" s="2056"/>
      <c r="E251" s="2056"/>
      <c r="O251" s="2044"/>
      <c r="P251" s="3801"/>
      <c r="Q251" s="3839"/>
    </row>
    <row r="252" spans="1:17" ht="20.25" customHeight="1">
      <c r="A252" s="2053"/>
      <c r="B252" s="2030" t="s">
        <v>4030</v>
      </c>
      <c r="D252" s="2056"/>
      <c r="E252" s="2056"/>
      <c r="O252" s="2044"/>
      <c r="P252" s="3840"/>
      <c r="Q252" s="3841"/>
    </row>
    <row r="253" spans="1:17" ht="20.25" customHeight="1">
      <c r="A253" s="2053"/>
      <c r="B253" s="2030" t="s">
        <v>3143</v>
      </c>
      <c r="O253" s="2044"/>
      <c r="P253" s="3801"/>
      <c r="Q253" s="3839"/>
    </row>
    <row r="254" spans="1:17" ht="20.25" customHeight="1">
      <c r="A254" s="2053"/>
      <c r="B254" s="2030" t="s">
        <v>690</v>
      </c>
      <c r="D254" s="3705"/>
      <c r="E254" s="3828"/>
      <c r="F254" s="3828"/>
      <c r="G254" s="3828"/>
      <c r="H254" s="3828"/>
      <c r="I254" s="3828"/>
      <c r="J254" s="3828"/>
      <c r="K254" s="3828"/>
      <c r="L254" s="3828"/>
      <c r="M254" s="3828"/>
      <c r="N254" s="3828"/>
      <c r="O254" s="3828"/>
      <c r="P254" s="3842"/>
      <c r="Q254" s="3843"/>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5" t="s">
        <v>7074</v>
      </c>
      <c r="B256" s="3828"/>
      <c r="C256" s="3828"/>
      <c r="D256" s="3828"/>
      <c r="E256" s="3828"/>
      <c r="F256" s="3828"/>
      <c r="G256" s="3828"/>
      <c r="H256" s="3828"/>
      <c r="I256" s="3828"/>
      <c r="J256" s="3828"/>
      <c r="K256" s="3828"/>
      <c r="L256" s="3828"/>
      <c r="M256" s="3828"/>
      <c r="N256" s="3828"/>
      <c r="O256" s="3828"/>
      <c r="P256" s="3828"/>
      <c r="Q256" s="382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30"/>
      <c r="C258" s="3830"/>
      <c r="D258" s="3830"/>
      <c r="E258" s="3830"/>
      <c r="F258" s="3830"/>
      <c r="G258" s="3830"/>
      <c r="H258" s="3830"/>
      <c r="I258" s="3830"/>
      <c r="J258" s="3830"/>
      <c r="K258" s="3830"/>
      <c r="L258" s="3830"/>
      <c r="M258" s="3830"/>
      <c r="N258" s="3830"/>
      <c r="O258" s="3830"/>
      <c r="P258" s="3830"/>
      <c r="Q258" s="3831"/>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8"/>
      <c r="Q261" s="3746"/>
    </row>
    <row r="262" spans="1:17" ht="20.25" customHeight="1">
      <c r="B262" s="2030" t="s">
        <v>6250</v>
      </c>
      <c r="O262" s="2044"/>
      <c r="P262" s="3722"/>
      <c r="Q262" s="3723"/>
    </row>
    <row r="263" spans="1:17" ht="20.25" customHeight="1">
      <c r="A263" s="2053" t="s">
        <v>1841</v>
      </c>
      <c r="B263" s="2029" t="s">
        <v>3937</v>
      </c>
    </row>
    <row r="264" spans="1:17" ht="20.25" customHeight="1">
      <c r="A264" s="2053"/>
      <c r="B264" s="3838" t="s">
        <v>701</v>
      </c>
      <c r="C264" s="3838"/>
      <c r="D264" s="3838"/>
      <c r="E264" s="3838"/>
      <c r="F264" s="3838"/>
      <c r="G264" s="3838"/>
      <c r="H264" s="3838"/>
      <c r="I264" s="3838"/>
      <c r="J264" s="3838"/>
      <c r="K264" s="3838"/>
      <c r="L264" s="3838"/>
      <c r="M264" s="3838"/>
      <c r="N264" s="3838"/>
      <c r="O264" s="3838"/>
      <c r="P264" s="3767"/>
      <c r="Q264" s="3768"/>
    </row>
    <row r="265" spans="1:17" ht="20.25" customHeight="1">
      <c r="B265" s="3838" t="s">
        <v>4032</v>
      </c>
      <c r="C265" s="3838"/>
      <c r="D265" s="3838"/>
      <c r="E265" s="3838"/>
      <c r="F265" s="3838"/>
      <c r="G265" s="3838"/>
      <c r="H265" s="3838"/>
      <c r="I265" s="3838"/>
      <c r="J265" s="3838"/>
      <c r="K265" s="3838"/>
      <c r="L265" s="3838"/>
      <c r="M265" s="3838"/>
      <c r="N265" s="3838"/>
      <c r="O265" s="3838"/>
      <c r="P265" s="3801"/>
      <c r="Q265" s="3839"/>
    </row>
    <row r="266" spans="1:17" ht="32.25" customHeight="1">
      <c r="A266" s="2053"/>
      <c r="B266" s="3846" t="s">
        <v>6834</v>
      </c>
      <c r="C266" s="3846"/>
      <c r="D266" s="3846"/>
      <c r="E266" s="3846"/>
      <c r="F266" s="3846"/>
      <c r="G266" s="3846"/>
      <c r="H266" s="3846"/>
      <c r="I266" s="3846"/>
      <c r="J266" s="3846"/>
      <c r="K266" s="3846"/>
      <c r="L266" s="3846"/>
      <c r="M266" s="3846"/>
      <c r="N266" s="3846"/>
      <c r="O266" s="3846"/>
      <c r="P266" s="3803"/>
      <c r="Q266" s="3806"/>
    </row>
    <row r="267" spans="1:17" ht="20.25" customHeight="1">
      <c r="B267" s="2060" t="s">
        <v>3239</v>
      </c>
      <c r="D267" s="2060"/>
      <c r="E267" s="2060"/>
      <c r="F267" s="2060"/>
      <c r="G267" s="2060"/>
      <c r="H267" s="2043"/>
      <c r="I267" s="2031"/>
      <c r="J267" s="2031"/>
      <c r="K267" s="2031"/>
    </row>
    <row r="268" spans="1:17" ht="20.25" customHeight="1">
      <c r="A268" s="3705" t="s">
        <v>7075</v>
      </c>
      <c r="B268" s="3828"/>
      <c r="C268" s="3828"/>
      <c r="D268" s="3828"/>
      <c r="E268" s="3828"/>
      <c r="F268" s="3828"/>
      <c r="G268" s="3828"/>
      <c r="H268" s="3828"/>
      <c r="I268" s="3828"/>
      <c r="J268" s="3828"/>
      <c r="K268" s="3828"/>
      <c r="L268" s="3828"/>
      <c r="M268" s="3828"/>
      <c r="N268" s="3828"/>
      <c r="O268" s="3828"/>
      <c r="P268" s="3828"/>
      <c r="Q268" s="382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30"/>
      <c r="C270" s="3830"/>
      <c r="D270" s="3830"/>
      <c r="E270" s="3830"/>
      <c r="F270" s="3830"/>
      <c r="G270" s="3830"/>
      <c r="H270" s="3830"/>
      <c r="I270" s="3830"/>
      <c r="J270" s="3830"/>
      <c r="K270" s="3830"/>
      <c r="L270" s="3830"/>
      <c r="M270" s="3830"/>
      <c r="N270" s="3830"/>
      <c r="O270" s="3830"/>
      <c r="P270" s="3830"/>
      <c r="Q270" s="3831"/>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2"/>
      <c r="Q273" s="3712"/>
    </row>
    <row r="274" spans="1:17" ht="33" customHeight="1">
      <c r="A274" s="2033"/>
      <c r="B274" s="3713" t="s">
        <v>6835</v>
      </c>
      <c r="C274" s="3713"/>
      <c r="D274" s="3713"/>
      <c r="E274" s="3713"/>
      <c r="F274" s="3713"/>
      <c r="G274" s="3713"/>
      <c r="H274" s="3713"/>
      <c r="I274" s="3713"/>
      <c r="J274" s="3713"/>
      <c r="K274" s="3713"/>
      <c r="L274" s="3713"/>
      <c r="M274" s="3713"/>
      <c r="N274" s="3713"/>
      <c r="O274" s="2105"/>
      <c r="P274" s="3722" t="s">
        <v>7066</v>
      </c>
      <c r="Q274" s="3723"/>
    </row>
    <row r="275" spans="1:17" ht="34.5" customHeight="1">
      <c r="A275" s="2033"/>
      <c r="B275" s="2078" t="s">
        <v>1841</v>
      </c>
      <c r="C275" s="3788" t="s">
        <v>3311</v>
      </c>
      <c r="D275" s="3788"/>
      <c r="E275" s="3788"/>
      <c r="F275" s="3788"/>
      <c r="G275" s="3788"/>
      <c r="H275" s="3788"/>
      <c r="I275" s="3788"/>
      <c r="J275" s="3788"/>
      <c r="K275" s="3788"/>
      <c r="L275" s="3788"/>
      <c r="M275" s="3788"/>
      <c r="N275" s="3788"/>
      <c r="O275" s="3788"/>
      <c r="P275" s="2056"/>
      <c r="Q275" s="2033"/>
    </row>
    <row r="276" spans="1:17" ht="34.5" customHeight="1">
      <c r="A276" s="2033"/>
      <c r="B276" s="2078" t="s">
        <v>1843</v>
      </c>
      <c r="C276" s="3788" t="s">
        <v>6836</v>
      </c>
      <c r="D276" s="3788"/>
      <c r="E276" s="3788"/>
      <c r="F276" s="3788"/>
      <c r="G276" s="3788"/>
      <c r="H276" s="3788"/>
      <c r="I276" s="3788"/>
      <c r="J276" s="3788"/>
      <c r="K276" s="3788"/>
      <c r="L276" s="3788"/>
      <c r="M276" s="3788"/>
      <c r="N276" s="3788"/>
      <c r="O276" s="3788"/>
      <c r="P276" s="2056"/>
      <c r="Q276" s="2026"/>
    </row>
    <row r="277" spans="1:17" ht="34.5" customHeight="1">
      <c r="A277" s="2033"/>
      <c r="C277" s="2437" t="s">
        <v>1844</v>
      </c>
      <c r="D277" s="3788" t="s">
        <v>3866</v>
      </c>
      <c r="E277" s="3788"/>
      <c r="F277" s="3788"/>
      <c r="G277" s="3788"/>
      <c r="H277" s="3788"/>
      <c r="I277" s="3788"/>
      <c r="J277" s="3788"/>
      <c r="K277" s="3788"/>
      <c r="L277" s="3788"/>
      <c r="M277" s="3788"/>
      <c r="N277" s="3788"/>
      <c r="O277" s="3788"/>
      <c r="P277" s="2044"/>
      <c r="Q277" s="2026"/>
    </row>
    <row r="278" spans="1:17" ht="15" customHeight="1">
      <c r="A278" s="2033"/>
      <c r="C278" s="2437" t="s">
        <v>1846</v>
      </c>
      <c r="D278" s="3844" t="s">
        <v>3867</v>
      </c>
      <c r="E278" s="3844"/>
      <c r="F278" s="3844"/>
      <c r="G278" s="3844"/>
      <c r="H278" s="3844"/>
      <c r="I278" s="3844"/>
      <c r="J278" s="3844"/>
      <c r="K278" s="3844"/>
      <c r="L278" s="3844"/>
      <c r="M278" s="3844"/>
      <c r="N278" s="3844"/>
      <c r="O278" s="3844"/>
      <c r="P278" s="2044"/>
      <c r="Q278" s="2026"/>
    </row>
    <row r="279" spans="1:17" ht="48" customHeight="1">
      <c r="A279" s="2033"/>
      <c r="C279" s="2437" t="s">
        <v>2332</v>
      </c>
      <c r="D279" s="3845" t="s">
        <v>3868</v>
      </c>
      <c r="E279" s="3845"/>
      <c r="F279" s="3845"/>
      <c r="G279" s="3845"/>
      <c r="H279" s="3845"/>
      <c r="I279" s="3845"/>
      <c r="J279" s="3845"/>
      <c r="K279" s="3845"/>
      <c r="L279" s="3845"/>
      <c r="M279" s="3845"/>
      <c r="N279" s="3845"/>
      <c r="O279" s="3845"/>
      <c r="P279" s="2044"/>
      <c r="Q279" s="2026"/>
    </row>
    <row r="280" spans="1:17" ht="48" customHeight="1">
      <c r="A280" s="2033"/>
      <c r="C280" s="2437" t="s">
        <v>1150</v>
      </c>
      <c r="D280" s="3845" t="s">
        <v>3869</v>
      </c>
      <c r="E280" s="3845"/>
      <c r="F280" s="3845"/>
      <c r="G280" s="3845"/>
      <c r="H280" s="3845"/>
      <c r="I280" s="3845"/>
      <c r="J280" s="3845"/>
      <c r="K280" s="3845"/>
      <c r="L280" s="3845"/>
      <c r="M280" s="3845"/>
      <c r="N280" s="3845"/>
      <c r="O280" s="3845"/>
      <c r="P280" s="2044"/>
      <c r="Q280" s="2026"/>
    </row>
    <row r="281" spans="1:17" ht="34.5" customHeight="1">
      <c r="A281" s="2033"/>
      <c r="B281" s="2078" t="s">
        <v>698</v>
      </c>
      <c r="C281" s="3788" t="s">
        <v>3312</v>
      </c>
      <c r="D281" s="3788"/>
      <c r="E281" s="3788"/>
      <c r="F281" s="3788"/>
      <c r="G281" s="3788"/>
      <c r="H281" s="3788"/>
      <c r="I281" s="3788"/>
      <c r="J281" s="3788"/>
      <c r="K281" s="3788"/>
      <c r="L281" s="3788"/>
      <c r="M281" s="3788"/>
      <c r="N281" s="3788"/>
      <c r="O281" s="3788"/>
      <c r="P281" s="2076"/>
      <c r="Q281" s="2026"/>
    </row>
    <row r="282" spans="1:17" ht="49.5" customHeight="1">
      <c r="A282" s="2033"/>
      <c r="B282" s="2078" t="s">
        <v>1962</v>
      </c>
      <c r="C282" s="3788" t="s">
        <v>3917</v>
      </c>
      <c r="D282" s="3788"/>
      <c r="E282" s="3788"/>
      <c r="F282" s="3788"/>
      <c r="G282" s="3788"/>
      <c r="H282" s="3788"/>
      <c r="I282" s="3788"/>
      <c r="J282" s="3788"/>
      <c r="K282" s="3788"/>
      <c r="L282" s="3788"/>
      <c r="M282" s="3788"/>
      <c r="N282" s="3788"/>
      <c r="O282" s="3788"/>
      <c r="P282" s="2076"/>
      <c r="Q282" s="2026"/>
    </row>
    <row r="283" spans="1:17" ht="34.5" customHeight="1">
      <c r="A283" s="2033"/>
      <c r="B283" s="2078" t="s">
        <v>1612</v>
      </c>
      <c r="C283" s="3788" t="s">
        <v>3918</v>
      </c>
      <c r="D283" s="3788"/>
      <c r="E283" s="3788"/>
      <c r="F283" s="3788"/>
      <c r="G283" s="3788"/>
      <c r="H283" s="3788"/>
      <c r="I283" s="3788"/>
      <c r="J283" s="3788"/>
      <c r="K283" s="3788"/>
      <c r="L283" s="3788"/>
      <c r="M283" s="3788"/>
      <c r="N283" s="3788"/>
      <c r="O283" s="3788"/>
      <c r="P283" s="2076"/>
      <c r="Q283" s="2026"/>
    </row>
    <row r="284" spans="1:17" ht="47.25" customHeight="1">
      <c r="A284" s="2071"/>
      <c r="B284" s="3788" t="s">
        <v>6837</v>
      </c>
      <c r="C284" s="3788"/>
      <c r="D284" s="3788"/>
      <c r="E284" s="3788"/>
      <c r="F284" s="3788"/>
      <c r="G284" s="3788"/>
      <c r="H284" s="3788"/>
      <c r="I284" s="3788"/>
      <c r="J284" s="3788"/>
      <c r="K284" s="3788"/>
      <c r="L284" s="3788"/>
      <c r="M284" s="3788"/>
      <c r="N284" s="3788"/>
      <c r="O284" s="3798"/>
      <c r="P284" s="3786" t="s">
        <v>7066</v>
      </c>
      <c r="Q284" s="3786"/>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5" t="s">
        <v>7077</v>
      </c>
      <c r="B286" s="3828"/>
      <c r="C286" s="3828"/>
      <c r="D286" s="3828"/>
      <c r="E286" s="3828"/>
      <c r="F286" s="3828"/>
      <c r="G286" s="3828"/>
      <c r="H286" s="3828"/>
      <c r="I286" s="3828"/>
      <c r="J286" s="3828"/>
      <c r="K286" s="3828"/>
      <c r="L286" s="3828"/>
      <c r="M286" s="3828"/>
      <c r="N286" s="3828"/>
      <c r="O286" s="3828"/>
      <c r="P286" s="3828"/>
      <c r="Q286" s="382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30"/>
      <c r="C288" s="3830"/>
      <c r="D288" s="3830"/>
      <c r="E288" s="3830"/>
      <c r="F288" s="3830"/>
      <c r="G288" s="3830"/>
      <c r="H288" s="3830"/>
      <c r="I288" s="3830"/>
      <c r="J288" s="3830"/>
      <c r="K288" s="3830"/>
      <c r="L288" s="3830"/>
      <c r="M288" s="3830"/>
      <c r="N288" s="3830"/>
      <c r="O288" s="3830"/>
      <c r="P288" s="3830"/>
      <c r="Q288" s="3831"/>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8"/>
      <c r="Q291" s="3746"/>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5" t="s">
        <v>7076</v>
      </c>
      <c r="B293" s="3828"/>
      <c r="C293" s="3828"/>
      <c r="D293" s="3828"/>
      <c r="E293" s="3828"/>
      <c r="F293" s="3828"/>
      <c r="G293" s="3828"/>
      <c r="H293" s="3828"/>
      <c r="I293" s="3828"/>
      <c r="J293" s="3828"/>
      <c r="K293" s="3828"/>
      <c r="L293" s="3828"/>
      <c r="M293" s="3828"/>
      <c r="N293" s="3828"/>
      <c r="O293" s="3828"/>
      <c r="P293" s="3828"/>
      <c r="Q293" s="382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30"/>
      <c r="C295" s="3830"/>
      <c r="D295" s="3830"/>
      <c r="E295" s="3830"/>
      <c r="F295" s="3830"/>
      <c r="G295" s="3830"/>
      <c r="H295" s="3830"/>
      <c r="I295" s="3830"/>
      <c r="J295" s="3830"/>
      <c r="K295" s="3830"/>
      <c r="L295" s="3830"/>
      <c r="M295" s="3830"/>
      <c r="N295" s="3830"/>
      <c r="O295" s="3830"/>
      <c r="P295" s="3830"/>
      <c r="Q295" s="3831"/>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27" zoomScaleNormal="100" workbookViewId="0">
      <selection activeCell="C242" sqref="C242:M242"/>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1" t="str">
        <f>CONCATENATE("PART EIGHT - SCORING CRITERIA","  -  ",'Part I-Project Identification'!$O$7," ",'Part I-Project Identification'!$F$25,", ",'Part I-Project Identification'!F26,", ",'Part I-Project Identification'!J26," County")</f>
        <v>PART EIGHT - SCORING CRITERIA  -  2023-0 Windsor Crossing, Nashville, Berrien County</v>
      </c>
      <c r="B1" s="4052"/>
      <c r="C1" s="4052"/>
      <c r="D1" s="4052"/>
      <c r="E1" s="4052"/>
      <c r="F1" s="4052"/>
      <c r="G1" s="4052"/>
      <c r="H1" s="4052"/>
      <c r="I1" s="4052"/>
      <c r="J1" s="4052"/>
      <c r="K1" s="4052"/>
      <c r="L1" s="4052"/>
      <c r="M1" s="4052"/>
      <c r="N1" s="4052"/>
      <c r="O1" s="4052"/>
      <c r="P1" s="405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4" t="s">
        <v>6841</v>
      </c>
      <c r="B3" s="4054"/>
      <c r="C3" s="4054"/>
      <c r="D3" s="4054"/>
      <c r="E3" s="4054"/>
      <c r="F3" s="4054"/>
      <c r="G3" s="4054"/>
      <c r="H3" s="4054"/>
      <c r="I3" s="4054"/>
      <c r="J3" s="4054"/>
      <c r="K3" s="4054"/>
      <c r="L3" s="4054"/>
      <c r="M3" s="2125"/>
      <c r="N3" s="2123"/>
      <c r="O3" s="2126" t="s">
        <v>2050</v>
      </c>
      <c r="P3" s="2127" t="s">
        <v>245</v>
      </c>
      <c r="Q3" s="2118"/>
      <c r="R3" s="2118"/>
      <c r="S3" s="2118"/>
      <c r="T3" s="2118"/>
      <c r="U3" s="2118"/>
      <c r="V3" s="2118"/>
      <c r="W3" s="2118"/>
      <c r="X3" s="2119"/>
    </row>
    <row r="4" spans="1:25" s="2121" customFormat="1" ht="16.5" customHeight="1">
      <c r="A4" s="4054"/>
      <c r="B4" s="4054"/>
      <c r="C4" s="4054"/>
      <c r="D4" s="4054"/>
      <c r="E4" s="4054"/>
      <c r="F4" s="4054"/>
      <c r="G4" s="4054"/>
      <c r="H4" s="4054"/>
      <c r="I4" s="4054"/>
      <c r="J4" s="4054"/>
      <c r="K4" s="4054"/>
      <c r="L4" s="405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5" t="str">
        <f>'Part I-Project Identification'!$A$6</f>
        <v>April 2023</v>
      </c>
      <c r="C6" s="4055"/>
      <c r="D6" s="4055"/>
      <c r="E6" s="4055"/>
      <c r="F6" s="4055"/>
      <c r="L6" s="2124" t="s">
        <v>1152</v>
      </c>
      <c r="M6" s="2133"/>
      <c r="N6" s="2134"/>
      <c r="O6" s="2135">
        <f>O404</f>
        <v>75</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6" t="s">
        <v>6495</v>
      </c>
      <c r="G12" s="4056"/>
      <c r="H12" s="4056"/>
      <c r="I12" s="4056"/>
      <c r="J12" s="4056"/>
      <c r="K12" s="4056"/>
      <c r="L12" s="4056"/>
      <c r="M12" s="4056"/>
      <c r="N12" s="4056"/>
      <c r="O12" s="2148" t="s">
        <v>3809</v>
      </c>
      <c r="P12" s="2149">
        <f>SUM(P13:P31)</f>
        <v>0</v>
      </c>
      <c r="Q12" s="4057"/>
      <c r="R12" s="4057"/>
      <c r="S12" s="4057"/>
      <c r="T12" s="4057"/>
      <c r="U12" s="4057"/>
      <c r="V12" s="2150"/>
    </row>
    <row r="13" spans="1:25" s="2121" customFormat="1" ht="14.45" customHeight="1">
      <c r="A13" s="2151" t="s">
        <v>1668</v>
      </c>
      <c r="B13" s="2152" t="s">
        <v>3393</v>
      </c>
      <c r="C13" s="2153"/>
      <c r="D13" s="2154"/>
      <c r="E13" s="2155">
        <f>$O$77</f>
        <v>20</v>
      </c>
      <c r="F13" s="4058" t="str">
        <f>$A$81</f>
        <v>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G13" s="4059"/>
      <c r="H13" s="4059"/>
      <c r="I13" s="4059"/>
      <c r="J13" s="4059"/>
      <c r="K13" s="4059"/>
      <c r="L13" s="4059"/>
      <c r="M13" s="4059"/>
      <c r="N13" s="4059"/>
      <c r="O13" s="4059"/>
      <c r="P13" s="2156"/>
      <c r="Q13" s="4057"/>
      <c r="R13" s="4057"/>
      <c r="S13" s="4057"/>
      <c r="T13" s="4057"/>
      <c r="U13" s="4057"/>
      <c r="V13" s="2150"/>
    </row>
    <row r="14" spans="1:25" s="2121" customFormat="1" ht="14.45" customHeight="1">
      <c r="A14" s="2151" t="s">
        <v>496</v>
      </c>
      <c r="B14" s="2157" t="s">
        <v>4037</v>
      </c>
      <c r="C14" s="2158"/>
      <c r="D14" s="2159"/>
      <c r="E14" s="2160">
        <f>$O$86</f>
        <v>2</v>
      </c>
      <c r="F14" s="4039" t="str">
        <f>$A$102</f>
        <v>Transit in 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27 for more details including a letter from SGRC confirming the details above.
SGRC website:  www.sgrc.us/public-transit-services.html</v>
      </c>
      <c r="G14" s="3878"/>
      <c r="H14" s="3878"/>
      <c r="I14" s="3878"/>
      <c r="J14" s="3878"/>
      <c r="K14" s="3878"/>
      <c r="L14" s="3878"/>
      <c r="M14" s="3878"/>
      <c r="N14" s="3878"/>
      <c r="O14" s="4040"/>
      <c r="P14" s="2162"/>
      <c r="Q14" s="4057"/>
      <c r="R14" s="4057"/>
      <c r="S14" s="4057"/>
      <c r="T14" s="4057"/>
      <c r="U14" s="4057"/>
    </row>
    <row r="15" spans="1:25" s="2121" customFormat="1" ht="14.45" customHeight="1">
      <c r="A15" s="2151" t="s">
        <v>720</v>
      </c>
      <c r="B15" s="2157" t="s">
        <v>3338</v>
      </c>
      <c r="C15" s="2158"/>
      <c r="D15" s="2159"/>
      <c r="E15" s="2160">
        <f>$O$106</f>
        <v>3</v>
      </c>
      <c r="F15" s="4039" t="str">
        <f>$A$117</f>
        <v>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2023,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28.</v>
      </c>
      <c r="G15" s="3878"/>
      <c r="H15" s="3878"/>
      <c r="I15" s="3878"/>
      <c r="J15" s="3878"/>
      <c r="K15" s="3878"/>
      <c r="L15" s="3878"/>
      <c r="M15" s="3878"/>
      <c r="N15" s="3878"/>
      <c r="O15" s="4040"/>
      <c r="P15" s="2162"/>
      <c r="Q15" s="2163"/>
      <c r="R15" s="2163"/>
      <c r="S15" s="2163"/>
      <c r="T15" s="2163"/>
      <c r="U15" s="2163"/>
    </row>
    <row r="16" spans="1:25" s="2121" customFormat="1" ht="14.45" customHeight="1">
      <c r="A16" s="2164" t="s">
        <v>280</v>
      </c>
      <c r="B16" s="2157" t="s">
        <v>3394</v>
      </c>
      <c r="C16" s="2158"/>
      <c r="D16" s="2159"/>
      <c r="E16" s="2457">
        <f>$O$122</f>
        <v>7</v>
      </c>
      <c r="F16" s="4039" t="str">
        <f>$A$137</f>
        <v>The Berrien County and City of Nashville Urban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3-Include an assessment of the Targeted Area’s existing infrastructure - See pages 13 and 15 of the CRP
4-Designate implementation measures-See pages 18 and 95 of the CRP
5-Be officially approved or re-approved by a Local Government within ten (10) years of Application Submission.-The CRP was originally adopted on January 9, 2012.  It was re-approved on June 8, 2020 and amended and updated on April 24, 2023.  See Tab 29 Section 03 for supporting documentation which are the Resolutions of the Governing Body approving the CRP.
The applicant qualifies for 2 points for meeting these primary criteria.
ADDTIONAL CRITERIA
1-Solicit public input and engagement during its creation.  See the letter in Tab 5 of Section 29 from the local government affirming and describing the public input and engagement that went into the planning process of the CRP
2-Local government demonstrates a financial commitment to advancing the CRP in the form of funds raised, funds allocated, tax incentives or local government fee waivers- See the letter from the local government in Tab 4 of Section 29 describing the amounts and types of investments made in the CRP.
3- The application site is located within a Qualified Census Tract (QCT) - the site is located in a QCT.  See QCT map provided in Section 29-9.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miles of the proposed site, are expected to cost $5.9M in total, of which, $2.4M is expected to be spent between June 2023 and December 31, 2025. 
This investment far exceeds $20,000 per unit qualifying the Applicant for 2 points for Third Party Capital Investment.  All supporting documentation is included in Tab 29.
In total, the applicant qualifies for 7 points in this section.</v>
      </c>
      <c r="G16" s="3878"/>
      <c r="H16" s="3878"/>
      <c r="I16" s="3878"/>
      <c r="J16" s="3878"/>
      <c r="K16" s="3878"/>
      <c r="L16" s="3878"/>
      <c r="M16" s="3878"/>
      <c r="N16" s="3878"/>
      <c r="O16" s="4040"/>
      <c r="P16" s="2162"/>
      <c r="Q16" s="2163"/>
      <c r="R16" s="2163"/>
      <c r="S16" s="2163"/>
      <c r="T16" s="2163"/>
      <c r="U16" s="2163"/>
    </row>
    <row r="17" spans="1:35" s="2121" customFormat="1" ht="14.45" customHeight="1">
      <c r="A17" s="2151" t="s">
        <v>401</v>
      </c>
      <c r="B17" s="2166" t="s">
        <v>3395</v>
      </c>
      <c r="C17" s="2167"/>
      <c r="D17" s="2168"/>
      <c r="E17" s="2169" t="s">
        <v>1610</v>
      </c>
      <c r="F17" s="4063" t="str">
        <f>$A$147</f>
        <v>Not Applicable - The Applicant is not claiming points in this section.</v>
      </c>
      <c r="G17" s="4064"/>
      <c r="H17" s="4064"/>
      <c r="I17" s="4064"/>
      <c r="J17" s="4064"/>
      <c r="K17" s="4064"/>
      <c r="L17" s="4064"/>
      <c r="M17" s="4064"/>
      <c r="N17" s="4064"/>
      <c r="O17" s="4065"/>
      <c r="P17" s="2162"/>
      <c r="Q17" s="2163"/>
      <c r="R17" s="2163"/>
      <c r="S17" s="2163"/>
      <c r="T17" s="2163"/>
      <c r="U17" s="2163"/>
    </row>
    <row r="18" spans="1:35" s="2121" customFormat="1" ht="14.45" customHeight="1">
      <c r="A18" s="2151" t="s">
        <v>342</v>
      </c>
      <c r="B18" s="2157" t="s">
        <v>4038</v>
      </c>
      <c r="C18" s="2158"/>
      <c r="D18" s="2159"/>
      <c r="E18" s="2170">
        <f>$O$152</f>
        <v>0</v>
      </c>
      <c r="F18" s="4039" t="str">
        <f>$A$165</f>
        <v>Not Applicable - The Applicant is not claiming points in this section.</v>
      </c>
      <c r="G18" s="3878"/>
      <c r="H18" s="3878"/>
      <c r="I18" s="3878"/>
      <c r="J18" s="3878"/>
      <c r="K18" s="3878"/>
      <c r="L18" s="3878"/>
      <c r="M18" s="3878"/>
      <c r="N18" s="3878"/>
      <c r="O18" s="4040"/>
      <c r="P18" s="2162"/>
      <c r="Q18" s="4066" t="str">
        <f>IF(OR($A$81="",$A$102="",$A$117="",$A$137="",$A$147="",$A$165="",$A$184="",$A$195="",$A$205="",$A$228="",$A$248="",$A$257="",$A$275="",$A$307="",$A$318="",$A$340="",$A$347="",$A$360="",$A$389=""),"Some Applicant Scoring Justification boxes are empty! Check to see if points claimed.","")</f>
        <v/>
      </c>
      <c r="R18" s="4006"/>
      <c r="S18" s="4006"/>
    </row>
    <row r="19" spans="1:35" s="2121" customFormat="1" ht="14.45" customHeight="1">
      <c r="A19" s="2151" t="s">
        <v>4040</v>
      </c>
      <c r="B19" s="2157" t="s">
        <v>3261</v>
      </c>
      <c r="C19" s="2158"/>
      <c r="D19" s="2159"/>
      <c r="E19" s="2170">
        <f>$O$179</f>
        <v>0</v>
      </c>
      <c r="F19" s="4039" t="str">
        <f>$A$184</f>
        <v>Not Applicable - The Applicant is not claiming points in this section.</v>
      </c>
      <c r="G19" s="3878"/>
      <c r="H19" s="3878"/>
      <c r="I19" s="3878"/>
      <c r="J19" s="3878"/>
      <c r="K19" s="3878"/>
      <c r="L19" s="3878"/>
      <c r="M19" s="3878"/>
      <c r="N19" s="3878"/>
      <c r="O19" s="4040"/>
      <c r="P19" s="2162"/>
      <c r="Q19" s="4066"/>
      <c r="R19" s="4006"/>
      <c r="S19" s="4006"/>
    </row>
    <row r="20" spans="1:35" s="2121" customFormat="1" ht="14.45" customHeight="1">
      <c r="A20" s="2151" t="s">
        <v>4052</v>
      </c>
      <c r="B20" s="2157" t="s">
        <v>4041</v>
      </c>
      <c r="C20" s="2158"/>
      <c r="D20" s="2159"/>
      <c r="E20" s="2169">
        <f>$O$189</f>
        <v>0</v>
      </c>
      <c r="F20" s="4039" t="str">
        <f>$A$195</f>
        <v>Not Applicable - The Applicant is not claiming points in this section.</v>
      </c>
      <c r="G20" s="3878"/>
      <c r="H20" s="3878"/>
      <c r="I20" s="3878"/>
      <c r="J20" s="3878"/>
      <c r="K20" s="3878"/>
      <c r="L20" s="3878"/>
      <c r="M20" s="3878"/>
      <c r="N20" s="3878"/>
      <c r="O20" s="4040"/>
      <c r="P20" s="2162"/>
      <c r="Q20" s="4066"/>
      <c r="R20" s="4006"/>
      <c r="S20" s="4006"/>
    </row>
    <row r="21" spans="1:35" s="2121" customFormat="1" ht="14.45" customHeight="1">
      <c r="A21" s="2171" t="s">
        <v>6242</v>
      </c>
      <c r="B21" s="2166" t="s">
        <v>4042</v>
      </c>
      <c r="C21" s="2167"/>
      <c r="D21" s="2168"/>
      <c r="E21" s="2172">
        <f>$O$200</f>
        <v>5</v>
      </c>
      <c r="F21" s="4063" t="str">
        <f>$A$205</f>
        <v>Windsor Crossing is located in unincorporated Berrien County, GA, outside of the city limits of Nashville, Ga.  DCA has never issued an award in unincorporated Berrien County outside of the the city limits of Nashville in a DCA Housing Credit Competitive Round. Therefore the Applicant has met the criteria for and is eligible for the 5 points noted in this section.</v>
      </c>
      <c r="G21" s="4064"/>
      <c r="H21" s="4064"/>
      <c r="I21" s="4064"/>
      <c r="J21" s="4064"/>
      <c r="K21" s="4064"/>
      <c r="L21" s="4064"/>
      <c r="M21" s="4064"/>
      <c r="N21" s="4064"/>
      <c r="O21" s="4065"/>
      <c r="P21" s="2162"/>
      <c r="Q21" s="4066"/>
      <c r="R21" s="4006"/>
      <c r="S21" s="4006"/>
    </row>
    <row r="22" spans="1:35" s="2121" customFormat="1" ht="14.45" customHeight="1">
      <c r="A22" s="2151" t="s">
        <v>6636</v>
      </c>
      <c r="B22" s="2157" t="s">
        <v>6548</v>
      </c>
      <c r="C22" s="2158"/>
      <c r="D22" s="2159"/>
      <c r="E22" s="2170">
        <f>$O$223</f>
        <v>0</v>
      </c>
      <c r="F22" s="4039" t="str">
        <f>$A$228</f>
        <v>Not Applicable - The Applicant is not claiming points in this section.</v>
      </c>
      <c r="G22" s="3878"/>
      <c r="H22" s="3878"/>
      <c r="I22" s="3878"/>
      <c r="J22" s="3878"/>
      <c r="K22" s="3878"/>
      <c r="L22" s="3878"/>
      <c r="M22" s="3878"/>
      <c r="N22" s="3878"/>
      <c r="O22" s="4040"/>
      <c r="P22" s="2162"/>
      <c r="Q22" s="4066"/>
      <c r="R22" s="4006"/>
      <c r="S22" s="4006"/>
    </row>
    <row r="23" spans="1:35" s="2121" customFormat="1" ht="14.45" customHeight="1">
      <c r="A23" s="2151" t="s">
        <v>6638</v>
      </c>
      <c r="B23" s="2157" t="s">
        <v>6637</v>
      </c>
      <c r="C23" s="2158"/>
      <c r="D23" s="2159"/>
      <c r="E23" s="2170">
        <f>$O$233</f>
        <v>2</v>
      </c>
      <c r="F23" s="4039" t="str">
        <f>$A$248</f>
        <v>The Applicant commits to the items noted above under A. Engagement Commitment and Reporting and is therefore eligible for two (2) points.</v>
      </c>
      <c r="G23" s="3878"/>
      <c r="H23" s="3878"/>
      <c r="I23" s="3878"/>
      <c r="J23" s="3878"/>
      <c r="K23" s="3878"/>
      <c r="L23" s="3878"/>
      <c r="M23" s="3878"/>
      <c r="N23" s="3878"/>
      <c r="O23" s="4040"/>
      <c r="P23" s="2162"/>
      <c r="Q23" s="4066"/>
      <c r="R23" s="4006"/>
      <c r="S23" s="4006"/>
    </row>
    <row r="24" spans="1:35" s="2121" customFormat="1" ht="14.45" customHeight="1">
      <c r="A24" s="2164" t="s">
        <v>3368</v>
      </c>
      <c r="B24" s="2173" t="s">
        <v>6554</v>
      </c>
      <c r="C24" s="2174"/>
      <c r="D24" s="2175"/>
      <c r="E24" s="2165">
        <f>$O$253</f>
        <v>2</v>
      </c>
      <c r="F24" s="4060" t="str">
        <f>$A$257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4061"/>
      <c r="H24" s="4061"/>
      <c r="I24" s="4061"/>
      <c r="J24" s="4061"/>
      <c r="K24" s="4061"/>
      <c r="L24" s="4061"/>
      <c r="M24" s="4061"/>
      <c r="N24" s="4061"/>
      <c r="O24" s="4062"/>
      <c r="P24" s="2162"/>
      <c r="Q24" s="4066"/>
      <c r="R24" s="4006"/>
      <c r="S24" s="4006"/>
    </row>
    <row r="25" spans="1:35" s="2121" customFormat="1" ht="14.45" customHeight="1">
      <c r="A25" s="2151" t="s">
        <v>3372</v>
      </c>
      <c r="B25" s="2157" t="s">
        <v>3396</v>
      </c>
      <c r="C25" s="2158"/>
      <c r="D25" s="2159"/>
      <c r="E25" s="2170">
        <f>$O$271</f>
        <v>2</v>
      </c>
      <c r="F25" s="4039" t="str">
        <f>$A$275</f>
        <v>Windsor Crossing received a letter from the Nashville/Berrien County GICH.  The Nashville/Berrien County GICH is a certified GICH alumnus.  The letter issued to Windsor Crossing by the Nashville/Berrien County GICH was signed by Henry Yawn, Nashville/Berrien County GICH Primary Contact Designee. The GICH letter clearly identifies the boundaries of their GICH community and identifies Windsor Crossing as located within the boundaries of the Nashville/Berrien County GICH community.  The letter issued to Windsor Crossing is the only letter issued by the Nashville/Berrien County GICH in the 2023 9% competitive round. The Applicant also received a letter from the Chairman of the Berrien County Board of Commissioners (who is authorized to speak on behalf of Berrien County) agreeing to the issuance of the GICH letter for Windsor Crossing. 
Therefore the Applicant has met the criteria for and is eligible for the 2 point noted in this section.  All required supporting documentation is included in tab 41.</v>
      </c>
      <c r="G25" s="3878"/>
      <c r="H25" s="3878"/>
      <c r="I25" s="3878"/>
      <c r="J25" s="3878"/>
      <c r="K25" s="3878"/>
      <c r="L25" s="3878"/>
      <c r="M25" s="3878"/>
      <c r="N25" s="3878"/>
      <c r="O25" s="4040"/>
      <c r="P25" s="2162"/>
      <c r="Q25" s="4066"/>
      <c r="R25" s="4006"/>
      <c r="S25" s="4006"/>
    </row>
    <row r="26" spans="1:35" s="2121" customFormat="1" ht="14.45" customHeight="1">
      <c r="A26" s="2151" t="s">
        <v>3375</v>
      </c>
      <c r="B26" s="2157" t="s">
        <v>3397</v>
      </c>
      <c r="C26" s="2158"/>
      <c r="D26" s="2159"/>
      <c r="E26" s="2170">
        <f>$O$280</f>
        <v>2</v>
      </c>
      <c r="F26" s="4039" t="str">
        <f>$A$307</f>
        <v>The Applicant has received a commitment of funds that meet the QAP requirements (Capital Magnet Funds issued by a CDFI) in this section to qualify for two (2) points.  Windsor Crossing consists of 44 units and the total qualifying sources (TQS) equal $20,000 per unit which meets the per unit reqirement to be eligible for two (2) points.  Therefore the Applicant is eligible for two (2) points.</v>
      </c>
      <c r="G26" s="3878"/>
      <c r="H26" s="3878"/>
      <c r="I26" s="3878"/>
      <c r="J26" s="3878"/>
      <c r="K26" s="3878"/>
      <c r="L26" s="3878"/>
      <c r="M26" s="3878"/>
      <c r="N26" s="3878"/>
      <c r="O26" s="4040"/>
      <c r="P26" s="2162"/>
      <c r="Q26" s="4066"/>
      <c r="R26" s="4006"/>
      <c r="S26" s="4006"/>
    </row>
    <row r="27" spans="1:35" s="2121" customFormat="1" ht="14.45" customHeight="1">
      <c r="A27" s="2151" t="s">
        <v>3376</v>
      </c>
      <c r="B27" s="2157" t="s">
        <v>3398</v>
      </c>
      <c r="C27" s="2158"/>
      <c r="D27" s="2159"/>
      <c r="E27" s="2169">
        <f>$O$312</f>
        <v>0</v>
      </c>
      <c r="F27" s="4039" t="str">
        <f>$A$318</f>
        <v>Not Applicable - The Applicant is not claiming points in this section.</v>
      </c>
      <c r="G27" s="3878"/>
      <c r="H27" s="3878"/>
      <c r="I27" s="3878"/>
      <c r="J27" s="3878"/>
      <c r="K27" s="3878"/>
      <c r="L27" s="3878"/>
      <c r="M27" s="3878"/>
      <c r="N27" s="3878"/>
      <c r="O27" s="4040"/>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7" t="str">
        <f>$A$340</f>
        <v>A. DCA PBRA Agreement - The Applicant commits to accept DCA-administered PBRA at the proposed development for not more than 20% of overall units, if funding is available. Windsor Crossing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28" s="4068"/>
      <c r="H28" s="4068"/>
      <c r="I28" s="4068"/>
      <c r="J28" s="4068"/>
      <c r="K28" s="4068"/>
      <c r="L28" s="4068"/>
      <c r="M28" s="4068"/>
      <c r="N28" s="4068"/>
      <c r="O28" s="4069"/>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9" t="str">
        <f>$A$347</f>
        <v>Not Applicable - The Applicant is not claiming points in this section.</v>
      </c>
      <c r="G29" s="3878"/>
      <c r="H29" s="3878"/>
      <c r="I29" s="3878"/>
      <c r="J29" s="3878"/>
      <c r="K29" s="3878"/>
      <c r="L29" s="3878"/>
      <c r="M29" s="3878"/>
      <c r="N29" s="3878"/>
      <c r="O29" s="4040"/>
      <c r="P29" s="2162"/>
      <c r="Q29" s="2176"/>
      <c r="R29" s="2118"/>
      <c r="S29" s="2118"/>
    </row>
    <row r="30" spans="1:35" s="2121" customFormat="1" ht="14.45" customHeight="1">
      <c r="A30" s="2151" t="s">
        <v>3802</v>
      </c>
      <c r="B30" s="2157" t="s">
        <v>6552</v>
      </c>
      <c r="C30" s="2158"/>
      <c r="D30" s="2159"/>
      <c r="E30" s="2170">
        <f>$O$358</f>
        <v>0</v>
      </c>
      <c r="F30" s="4039" t="str">
        <f>$A$360</f>
        <v>Not Applicable - The Applicant is not claiming points in this section.</v>
      </c>
      <c r="G30" s="3878"/>
      <c r="H30" s="3878"/>
      <c r="I30" s="3878"/>
      <c r="J30" s="3878"/>
      <c r="K30" s="3878"/>
      <c r="L30" s="3878"/>
      <c r="M30" s="3878"/>
      <c r="N30" s="3878"/>
      <c r="O30" s="4040"/>
      <c r="P30" s="2162"/>
      <c r="Q30" s="2176"/>
    </row>
    <row r="31" spans="1:35" s="2121" customFormat="1" ht="14.45" customHeight="1">
      <c r="A31" s="2151" t="s">
        <v>6555</v>
      </c>
      <c r="B31" s="2157" t="s">
        <v>6553</v>
      </c>
      <c r="C31" s="2158"/>
      <c r="D31" s="2159"/>
      <c r="E31" s="2170">
        <f>$O$365</f>
        <v>0</v>
      </c>
      <c r="F31" s="4039" t="str">
        <f>$A$369</f>
        <v>Not Applicable - The Applicant is not claiming points in this section.</v>
      </c>
      <c r="G31" s="3878"/>
      <c r="H31" s="3878"/>
      <c r="I31" s="3878"/>
      <c r="J31" s="3878"/>
      <c r="K31" s="3878"/>
      <c r="L31" s="3878"/>
      <c r="M31" s="3878"/>
      <c r="N31" s="3878"/>
      <c r="O31" s="4040"/>
      <c r="P31" s="2455"/>
      <c r="Q31" s="2176"/>
    </row>
    <row r="32" spans="1:35" s="2121" customFormat="1" ht="14.45" customHeight="1">
      <c r="A32" s="2456" t="s">
        <v>6916</v>
      </c>
      <c r="B32" s="2178" t="s">
        <v>6932</v>
      </c>
      <c r="C32" s="2179"/>
      <c r="D32" s="2179"/>
      <c r="E32" s="2454">
        <f>$O$373</f>
        <v>0</v>
      </c>
      <c r="F32" s="4067">
        <f>$A$388</f>
        <v>0</v>
      </c>
      <c r="G32" s="4068"/>
      <c r="H32" s="4068"/>
      <c r="I32" s="4068"/>
      <c r="J32" s="4068"/>
      <c r="K32" s="4068"/>
      <c r="L32" s="4068"/>
      <c r="M32" s="4068"/>
      <c r="N32" s="4068"/>
      <c r="O32" s="4069"/>
      <c r="P32" s="2183"/>
      <c r="Q32" s="2118"/>
    </row>
    <row r="33" spans="1:35" ht="12.75" customHeight="1">
      <c r="Q33" s="2185"/>
    </row>
    <row r="34" spans="1:35" ht="13.5" customHeight="1">
      <c r="A34" s="3850" t="s">
        <v>6946</v>
      </c>
      <c r="B34" s="3850"/>
      <c r="C34" s="3850"/>
      <c r="D34" s="3850"/>
      <c r="E34" s="4085" t="str">
        <f>IF(OR((C36-A36&gt;0),(D36-A36&gt;0)),"Points Exceed Max!","")</f>
        <v/>
      </c>
      <c r="F34" s="3920" t="s">
        <v>6880</v>
      </c>
      <c r="G34" s="3921"/>
      <c r="H34" s="3921"/>
      <c r="I34" s="3922"/>
      <c r="J34" s="4070" t="s">
        <v>6139</v>
      </c>
      <c r="K34" s="4071"/>
      <c r="L34" s="4071"/>
      <c r="M34" s="4072"/>
      <c r="O34" s="3926" t="s">
        <v>6881</v>
      </c>
      <c r="P34" s="3926"/>
      <c r="Q34" s="2185"/>
    </row>
    <row r="35" spans="1:35" ht="13.5" customHeight="1">
      <c r="A35" s="4090" t="s">
        <v>6906</v>
      </c>
      <c r="B35" s="4091"/>
      <c r="C35" s="2461" t="s">
        <v>2889</v>
      </c>
      <c r="D35" s="2460" t="s">
        <v>245</v>
      </c>
      <c r="E35" s="4085"/>
      <c r="F35" s="3923"/>
      <c r="G35" s="3924"/>
      <c r="H35" s="3924"/>
      <c r="I35" s="3925"/>
      <c r="J35" s="4073"/>
      <c r="K35" s="4074"/>
      <c r="L35" s="4074"/>
      <c r="M35" s="4075"/>
      <c r="O35" s="3927"/>
      <c r="P35" s="3927"/>
    </row>
    <row r="36" spans="1:35" ht="10.5" customHeight="1">
      <c r="A36" s="4086">
        <v>33</v>
      </c>
      <c r="B36" s="4087"/>
      <c r="C36" s="4100">
        <f>IF($O$36="4%",O77+O86+O106+O122+O152+O179,0)</f>
        <v>0</v>
      </c>
      <c r="D36" s="4098">
        <f>IF($O$36="4%",P77+P86+P106+P122+P152+P179,0)</f>
        <v>0</v>
      </c>
      <c r="E36" s="4085"/>
      <c r="F36" s="4033" t="s">
        <v>6124</v>
      </c>
      <c r="G36" s="4034"/>
      <c r="H36" s="4034"/>
      <c r="I36" s="4035"/>
      <c r="J36" s="4076" t="s">
        <v>2392</v>
      </c>
      <c r="K36" s="4077"/>
      <c r="L36" s="4077"/>
      <c r="M36" s="4078"/>
      <c r="O36" s="392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9"/>
    </row>
    <row r="37" spans="1:35" ht="10.5" customHeight="1">
      <c r="A37" s="4088"/>
      <c r="B37" s="4089"/>
      <c r="C37" s="4101"/>
      <c r="D37" s="4099"/>
      <c r="E37" s="4085"/>
      <c r="F37" s="4036"/>
      <c r="G37" s="4037"/>
      <c r="H37" s="4037"/>
      <c r="I37" s="4038"/>
      <c r="J37" s="4079"/>
      <c r="K37" s="4080"/>
      <c r="L37" s="4080"/>
      <c r="M37" s="4081"/>
      <c r="O37" s="3928"/>
      <c r="P37" s="392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2" t="s">
        <v>6844</v>
      </c>
      <c r="D46" s="3873"/>
      <c r="E46" s="3873"/>
      <c r="F46" s="3873"/>
      <c r="G46" s="3873"/>
      <c r="H46" s="3873"/>
      <c r="I46" s="3873"/>
      <c r="J46" s="3873"/>
      <c r="K46" s="3873"/>
      <c r="L46" s="3873"/>
      <c r="M46" s="3873"/>
      <c r="N46" s="3873"/>
      <c r="O46" s="3873"/>
      <c r="P46" s="3874"/>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4" t="s">
        <v>6873</v>
      </c>
      <c r="B50" s="3924"/>
      <c r="C50" s="3924"/>
      <c r="D50" s="3924"/>
      <c r="E50" s="3924"/>
      <c r="F50" s="2216" t="s">
        <v>3178</v>
      </c>
      <c r="G50" s="3924" t="s">
        <v>6874</v>
      </c>
      <c r="H50" s="3924"/>
      <c r="I50" s="3924"/>
      <c r="J50" s="2216" t="s">
        <v>3178</v>
      </c>
      <c r="K50" s="4092" t="s">
        <v>6875</v>
      </c>
      <c r="L50" s="4092"/>
      <c r="M50" s="4092"/>
      <c r="N50" s="4092"/>
      <c r="O50" s="3860" t="s">
        <v>3178</v>
      </c>
      <c r="P50" s="3861"/>
      <c r="R50" s="2209"/>
      <c r="S50" s="2217"/>
    </row>
    <row r="51" spans="1:20" s="2121" customFormat="1" ht="12.75" customHeight="1">
      <c r="A51" s="4082"/>
      <c r="B51" s="4082"/>
      <c r="C51" s="4082"/>
      <c r="D51" s="4082"/>
      <c r="E51" s="4082"/>
      <c r="F51" s="2218">
        <f>SUM(F52:F63)</f>
        <v>0</v>
      </c>
      <c r="G51" s="4083"/>
      <c r="H51" s="4082"/>
      <c r="I51" s="4084"/>
      <c r="J51" s="2218">
        <f>SUM(J52:J63)</f>
        <v>0</v>
      </c>
      <c r="K51" s="4093"/>
      <c r="L51" s="4094"/>
      <c r="M51" s="4094"/>
      <c r="N51" s="4095"/>
      <c r="O51" s="4096">
        <f>SUM(O52:O63)</f>
        <v>0</v>
      </c>
      <c r="P51" s="4097"/>
      <c r="Q51" s="2209"/>
      <c r="R51" s="2217"/>
    </row>
    <row r="52" spans="1:20" s="2121" customFormat="1" ht="29.25" customHeight="1">
      <c r="A52" s="4044">
        <v>1</v>
      </c>
      <c r="B52" s="4045"/>
      <c r="C52" s="4045"/>
      <c r="D52" s="4045"/>
      <c r="E52" s="4046"/>
      <c r="F52" s="2219"/>
      <c r="G52" s="4044">
        <v>1</v>
      </c>
      <c r="H52" s="4045"/>
      <c r="I52" s="4046"/>
      <c r="J52" s="2220" t="s">
        <v>1610</v>
      </c>
      <c r="K52" s="4047">
        <v>1</v>
      </c>
      <c r="L52" s="4048"/>
      <c r="M52" s="4048"/>
      <c r="N52" s="4048"/>
      <c r="O52" s="4049" t="s">
        <v>1610</v>
      </c>
      <c r="P52" s="4050"/>
      <c r="Q52" s="2252"/>
      <c r="R52" s="2217"/>
    </row>
    <row r="53" spans="1:20" s="2121" customFormat="1" ht="29.25" customHeight="1">
      <c r="A53" s="4019">
        <v>2</v>
      </c>
      <c r="B53" s="4020"/>
      <c r="C53" s="4020"/>
      <c r="D53" s="4020"/>
      <c r="E53" s="4021"/>
      <c r="F53" s="2221"/>
      <c r="G53" s="4019">
        <v>2</v>
      </c>
      <c r="H53" s="4020"/>
      <c r="I53" s="4021"/>
      <c r="J53" s="2221"/>
      <c r="K53" s="4029">
        <v>2</v>
      </c>
      <c r="L53" s="4030"/>
      <c r="M53" s="4030"/>
      <c r="N53" s="4030"/>
      <c r="O53" s="4022"/>
      <c r="P53" s="4023"/>
      <c r="Q53" s="2209"/>
      <c r="R53" s="2217"/>
    </row>
    <row r="54" spans="1:20" s="2121" customFormat="1" ht="29.25" customHeight="1">
      <c r="A54" s="4019">
        <v>3</v>
      </c>
      <c r="B54" s="4020"/>
      <c r="C54" s="4020"/>
      <c r="D54" s="4020"/>
      <c r="E54" s="4021"/>
      <c r="F54" s="2221"/>
      <c r="G54" s="4019">
        <v>3</v>
      </c>
      <c r="H54" s="4020"/>
      <c r="I54" s="4021"/>
      <c r="J54" s="2222"/>
      <c r="K54" s="4029">
        <v>3</v>
      </c>
      <c r="L54" s="4030"/>
      <c r="M54" s="4030"/>
      <c r="N54" s="4030"/>
      <c r="O54" s="4022"/>
      <c r="P54" s="4023"/>
      <c r="Q54" s="2409"/>
      <c r="R54" s="2150"/>
      <c r="S54" s="2150"/>
      <c r="T54" s="2150"/>
    </row>
    <row r="55" spans="1:20" s="2121" customFormat="1" ht="29.25" customHeight="1">
      <c r="A55" s="4019">
        <v>4</v>
      </c>
      <c r="B55" s="4020"/>
      <c r="C55" s="4020"/>
      <c r="D55" s="4020"/>
      <c r="E55" s="4021"/>
      <c r="F55" s="2221"/>
      <c r="G55" s="4019">
        <v>4</v>
      </c>
      <c r="H55" s="4020"/>
      <c r="I55" s="4021"/>
      <c r="J55" s="2221"/>
      <c r="K55" s="4029">
        <v>4</v>
      </c>
      <c r="L55" s="4030"/>
      <c r="M55" s="4030"/>
      <c r="N55" s="4030"/>
      <c r="O55" s="4022"/>
      <c r="P55" s="4023"/>
      <c r="Q55" s="2409"/>
      <c r="R55" s="2150"/>
      <c r="S55" s="2150"/>
      <c r="T55" s="2150"/>
    </row>
    <row r="56" spans="1:20" s="2121" customFormat="1" ht="29.25" customHeight="1">
      <c r="A56" s="4019">
        <v>5</v>
      </c>
      <c r="B56" s="4020"/>
      <c r="C56" s="4020"/>
      <c r="D56" s="4020"/>
      <c r="E56" s="4021"/>
      <c r="F56" s="2221"/>
      <c r="G56" s="4019">
        <v>5</v>
      </c>
      <c r="H56" s="4020"/>
      <c r="I56" s="4021"/>
      <c r="J56" s="2222"/>
      <c r="K56" s="4029">
        <v>5</v>
      </c>
      <c r="L56" s="4030"/>
      <c r="M56" s="4030"/>
      <c r="N56" s="4030"/>
      <c r="O56" s="4022"/>
      <c r="P56" s="4023"/>
      <c r="Q56" s="2409"/>
      <c r="R56" s="2150"/>
      <c r="S56" s="2150"/>
      <c r="T56" s="2150"/>
    </row>
    <row r="57" spans="1:20" s="2121" customFormat="1" ht="29.25" customHeight="1">
      <c r="A57" s="4019">
        <v>6</v>
      </c>
      <c r="B57" s="4020"/>
      <c r="C57" s="4020"/>
      <c r="D57" s="4020"/>
      <c r="E57" s="4021"/>
      <c r="F57" s="2221"/>
      <c r="G57" s="4019">
        <v>6</v>
      </c>
      <c r="H57" s="4020"/>
      <c r="I57" s="4021"/>
      <c r="J57" s="2221"/>
      <c r="K57" s="4029">
        <v>6</v>
      </c>
      <c r="L57" s="4030"/>
      <c r="M57" s="4030"/>
      <c r="N57" s="4030"/>
      <c r="O57" s="4022"/>
      <c r="P57" s="4023"/>
      <c r="Q57" s="2409"/>
      <c r="R57" s="2150"/>
    </row>
    <row r="58" spans="1:20" s="2121" customFormat="1" ht="29.25" customHeight="1">
      <c r="A58" s="4019">
        <v>7</v>
      </c>
      <c r="B58" s="4020"/>
      <c r="C58" s="4020"/>
      <c r="D58" s="4020"/>
      <c r="E58" s="4021"/>
      <c r="F58" s="2221"/>
      <c r="G58" s="4019">
        <v>7</v>
      </c>
      <c r="H58" s="4020"/>
      <c r="I58" s="4021"/>
      <c r="J58" s="2222"/>
      <c r="K58" s="4029">
        <v>7</v>
      </c>
      <c r="L58" s="4030"/>
      <c r="M58" s="4030"/>
      <c r="N58" s="4030"/>
      <c r="O58" s="4022"/>
      <c r="P58" s="4023"/>
      <c r="Q58" s="2217"/>
      <c r="R58" s="2217"/>
    </row>
    <row r="59" spans="1:20" s="2121" customFormat="1" ht="29.25" customHeight="1">
      <c r="A59" s="4019">
        <v>8</v>
      </c>
      <c r="B59" s="4020"/>
      <c r="C59" s="4020"/>
      <c r="D59" s="4020"/>
      <c r="E59" s="4021"/>
      <c r="F59" s="2221"/>
      <c r="G59" s="4019">
        <v>8</v>
      </c>
      <c r="H59" s="4020"/>
      <c r="I59" s="4021"/>
      <c r="J59" s="2221"/>
      <c r="K59" s="4029">
        <v>8</v>
      </c>
      <c r="L59" s="4030"/>
      <c r="M59" s="4030"/>
      <c r="N59" s="4030"/>
      <c r="O59" s="4022"/>
      <c r="P59" s="4023"/>
      <c r="Q59" s="2217"/>
      <c r="R59" s="2217"/>
    </row>
    <row r="60" spans="1:20" s="2121" customFormat="1" ht="29.25" customHeight="1">
      <c r="A60" s="4019">
        <v>9</v>
      </c>
      <c r="B60" s="4020"/>
      <c r="C60" s="4020"/>
      <c r="D60" s="4020"/>
      <c r="E60" s="4021"/>
      <c r="F60" s="2221"/>
      <c r="G60" s="4019">
        <v>9</v>
      </c>
      <c r="H60" s="4020"/>
      <c r="I60" s="4021"/>
      <c r="J60" s="2222"/>
      <c r="K60" s="4029">
        <v>9</v>
      </c>
      <c r="L60" s="4030"/>
      <c r="M60" s="4030"/>
      <c r="N60" s="4030"/>
      <c r="O60" s="4022"/>
      <c r="P60" s="4023"/>
      <c r="Q60" s="2217"/>
      <c r="R60" s="2217"/>
    </row>
    <row r="61" spans="1:20" s="2121" customFormat="1" ht="29.25" customHeight="1">
      <c r="A61" s="4019">
        <v>10</v>
      </c>
      <c r="B61" s="4020"/>
      <c r="C61" s="4020"/>
      <c r="D61" s="4020"/>
      <c r="E61" s="4021"/>
      <c r="F61" s="2221"/>
      <c r="G61" s="4019">
        <v>10</v>
      </c>
      <c r="H61" s="4020"/>
      <c r="I61" s="4021"/>
      <c r="J61" s="2221"/>
      <c r="K61" s="4029">
        <v>10</v>
      </c>
      <c r="L61" s="4030"/>
      <c r="M61" s="4030"/>
      <c r="N61" s="4030"/>
      <c r="O61" s="4022"/>
      <c r="P61" s="4023"/>
      <c r="Q61" s="2217"/>
    </row>
    <row r="62" spans="1:20" s="2121" customFormat="1" ht="29.25" customHeight="1">
      <c r="A62" s="4019">
        <v>11</v>
      </c>
      <c r="B62" s="4020"/>
      <c r="C62" s="4020"/>
      <c r="D62" s="4020"/>
      <c r="E62" s="4021"/>
      <c r="F62" s="2221"/>
      <c r="G62" s="4019">
        <v>11</v>
      </c>
      <c r="H62" s="4020"/>
      <c r="I62" s="4021"/>
      <c r="J62" s="2222"/>
      <c r="K62" s="4019">
        <v>11</v>
      </c>
      <c r="L62" s="4020"/>
      <c r="M62" s="4020"/>
      <c r="N62" s="4021"/>
      <c r="O62" s="4022"/>
      <c r="P62" s="4023"/>
      <c r="Q62" s="2217"/>
      <c r="R62" s="2217"/>
    </row>
    <row r="63" spans="1:20" s="2121" customFormat="1" ht="29.25" customHeight="1">
      <c r="A63" s="4024">
        <v>12</v>
      </c>
      <c r="B63" s="4025"/>
      <c r="C63" s="4025"/>
      <c r="D63" s="4025"/>
      <c r="E63" s="4026"/>
      <c r="F63" s="2223"/>
      <c r="G63" s="4024">
        <v>12</v>
      </c>
      <c r="H63" s="4025"/>
      <c r="I63" s="4026"/>
      <c r="J63" s="2223"/>
      <c r="K63" s="4024">
        <v>12</v>
      </c>
      <c r="L63" s="4025"/>
      <c r="M63" s="4025"/>
      <c r="N63" s="4026"/>
      <c r="O63" s="4027"/>
      <c r="P63" s="4028"/>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57.954545454545453</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2"/>
      <c r="B74" s="3873"/>
      <c r="C74" s="3873"/>
      <c r="D74" s="3873"/>
      <c r="E74" s="3873"/>
      <c r="F74" s="3873"/>
      <c r="G74" s="3873"/>
      <c r="H74" s="3873"/>
      <c r="I74" s="3873"/>
      <c r="J74" s="3873"/>
      <c r="K74" s="3873"/>
      <c r="L74" s="3873"/>
      <c r="M74" s="3873"/>
      <c r="N74" s="3873"/>
      <c r="O74" s="3873"/>
      <c r="P74" s="3874"/>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v>0</v>
      </c>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00.15" customHeight="1" thickTop="1" thickBot="1">
      <c r="A81" s="3869" t="s">
        <v>7079</v>
      </c>
      <c r="B81" s="3870"/>
      <c r="C81" s="3870"/>
      <c r="D81" s="3870"/>
      <c r="E81" s="3870"/>
      <c r="F81" s="3870"/>
      <c r="G81" s="3870"/>
      <c r="H81" s="3870"/>
      <c r="I81" s="3870"/>
      <c r="J81" s="3870"/>
      <c r="K81" s="3870"/>
      <c r="L81" s="3870"/>
      <c r="M81" s="3870"/>
      <c r="N81" s="3870"/>
      <c r="O81" s="3870"/>
      <c r="P81" s="3871"/>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2"/>
      <c r="B83" s="3873"/>
      <c r="C83" s="3873"/>
      <c r="D83" s="3873"/>
      <c r="E83" s="3873"/>
      <c r="F83" s="3873"/>
      <c r="G83" s="3873"/>
      <c r="H83" s="3873"/>
      <c r="I83" s="3873"/>
      <c r="J83" s="3873"/>
      <c r="K83" s="3873"/>
      <c r="L83" s="3873"/>
      <c r="M83" s="3873"/>
      <c r="N83" s="3873"/>
      <c r="O83" s="3873"/>
      <c r="P83" s="3874"/>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8" t="s">
        <v>3215</v>
      </c>
      <c r="G88" s="4018"/>
      <c r="H88" s="4018"/>
      <c r="I88" s="4018"/>
      <c r="J88" s="4018" t="s">
        <v>3216</v>
      </c>
      <c r="K88" s="4018"/>
      <c r="L88" s="4018"/>
      <c r="M88" s="4018"/>
      <c r="N88" s="2254"/>
      <c r="O88" s="3862" t="s">
        <v>6846</v>
      </c>
      <c r="P88" s="3862"/>
      <c r="R88" s="2157"/>
      <c r="S88" s="2275">
        <v>0.5</v>
      </c>
      <c r="T88" s="2275">
        <v>4.5</v>
      </c>
      <c r="U88" s="2267"/>
    </row>
    <row r="89" spans="1:21" ht="15.95" customHeight="1">
      <c r="B89" s="2272"/>
      <c r="C89" s="2420" t="s">
        <v>6847</v>
      </c>
      <c r="F89" s="4010">
        <v>31.208708999999999</v>
      </c>
      <c r="G89" s="4011"/>
      <c r="H89" s="4012"/>
      <c r="I89" s="4013"/>
      <c r="J89" s="4010">
        <v>-83.218197000000004</v>
      </c>
      <c r="K89" s="4011"/>
      <c r="L89" s="4012"/>
      <c r="M89" s="4013"/>
      <c r="N89" s="2120"/>
      <c r="O89" s="3863"/>
      <c r="P89" s="3863"/>
      <c r="R89" s="2274" t="s">
        <v>6670</v>
      </c>
      <c r="S89" s="2280">
        <v>1</v>
      </c>
      <c r="T89" s="2280">
        <v>4</v>
      </c>
      <c r="U89" s="2267"/>
    </row>
    <row r="90" spans="1:21" ht="15.95" customHeight="1">
      <c r="A90" s="2272"/>
      <c r="B90" s="2158"/>
      <c r="C90" s="2420" t="s">
        <v>6848</v>
      </c>
      <c r="F90" s="4014"/>
      <c r="G90" s="4015"/>
      <c r="H90" s="4016"/>
      <c r="I90" s="4017"/>
      <c r="J90" s="4014"/>
      <c r="K90" s="4015"/>
      <c r="L90" s="4016"/>
      <c r="M90" s="4017"/>
      <c r="N90" s="2254"/>
      <c r="O90" s="2276"/>
      <c r="P90" s="2277"/>
      <c r="R90" s="2278"/>
      <c r="S90" s="2281">
        <v>0.25</v>
      </c>
      <c r="T90" s="2281">
        <v>3</v>
      </c>
      <c r="U90" s="2267"/>
    </row>
    <row r="91" spans="1:21" ht="15.95" customHeight="1">
      <c r="A91" s="2158"/>
      <c r="B91" s="4007" t="s">
        <v>6885</v>
      </c>
      <c r="C91" s="4007"/>
      <c r="D91" s="4007"/>
      <c r="E91" s="4007"/>
      <c r="F91" s="2139" t="s">
        <v>6849</v>
      </c>
      <c r="G91" s="4009" t="s">
        <v>1672</v>
      </c>
      <c r="H91" s="4009"/>
      <c r="I91" s="4009"/>
      <c r="J91" s="4009" t="s">
        <v>6882</v>
      </c>
      <c r="K91" s="4009"/>
      <c r="L91" s="4009"/>
      <c r="M91" s="4009"/>
      <c r="N91" s="4009"/>
      <c r="O91" s="4009"/>
      <c r="P91" s="4009"/>
      <c r="R91" s="2279"/>
      <c r="S91" s="2275">
        <v>0.5</v>
      </c>
      <c r="T91" s="2275">
        <v>2</v>
      </c>
      <c r="U91" s="2267"/>
    </row>
    <row r="92" spans="1:21" ht="15.95" customHeight="1">
      <c r="A92" s="2158"/>
      <c r="B92" s="3930" t="s">
        <v>7080</v>
      </c>
      <c r="C92" s="3930"/>
      <c r="D92" s="3930"/>
      <c r="E92" s="3930"/>
      <c r="F92" s="2416">
        <v>2293335277</v>
      </c>
      <c r="G92" s="4008" t="s">
        <v>7119</v>
      </c>
      <c r="H92" s="4008"/>
      <c r="I92" s="4008"/>
      <c r="J92" s="4008" t="s">
        <v>7081</v>
      </c>
      <c r="K92" s="4008"/>
      <c r="L92" s="4008"/>
      <c r="M92" s="4008"/>
      <c r="N92" s="4008"/>
      <c r="O92" s="4008"/>
      <c r="P92" s="4008"/>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8" t="s">
        <v>6877</v>
      </c>
      <c r="D95" s="3878"/>
      <c r="E95" s="3878"/>
      <c r="F95" s="3878"/>
      <c r="G95" s="3878"/>
      <c r="H95" s="3878"/>
      <c r="I95" s="3878"/>
      <c r="J95" s="3878"/>
      <c r="K95" s="3878"/>
      <c r="L95" s="3878"/>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4006"/>
      <c r="K96" s="4006"/>
      <c r="L96" s="4006"/>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8" t="s">
        <v>6883</v>
      </c>
      <c r="D100" s="3878"/>
      <c r="E100" s="3878"/>
      <c r="F100" s="3878"/>
      <c r="G100" s="3878"/>
      <c r="H100" s="3878"/>
      <c r="I100" s="3878"/>
      <c r="J100" s="3878"/>
      <c r="K100" s="3878"/>
      <c r="L100" s="3878"/>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171.6" customHeight="1" thickTop="1" thickBot="1">
      <c r="A102" s="3869" t="s">
        <v>7082</v>
      </c>
      <c r="B102" s="3870"/>
      <c r="C102" s="3870"/>
      <c r="D102" s="3870"/>
      <c r="E102" s="3870"/>
      <c r="F102" s="3870"/>
      <c r="G102" s="3870"/>
      <c r="H102" s="3870"/>
      <c r="I102" s="3870"/>
      <c r="J102" s="3870"/>
      <c r="K102" s="3870"/>
      <c r="L102" s="3870"/>
      <c r="M102" s="3870"/>
      <c r="N102" s="3870"/>
      <c r="O102" s="3870"/>
      <c r="P102" s="3871"/>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2"/>
      <c r="B104" s="3873"/>
      <c r="C104" s="3873"/>
      <c r="D104" s="3873"/>
      <c r="E104" s="3873"/>
      <c r="F104" s="3873"/>
      <c r="G104" s="3873"/>
      <c r="H104" s="3873"/>
      <c r="I104" s="3873"/>
      <c r="J104" s="3873"/>
      <c r="K104" s="3873"/>
      <c r="L104" s="3873"/>
      <c r="M104" s="3873"/>
      <c r="N104" s="3873"/>
      <c r="O104" s="3873"/>
      <c r="P104" s="3874"/>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6" t="s">
        <v>6908</v>
      </c>
      <c r="G107" s="3866"/>
      <c r="H107" s="3866" t="s">
        <v>6909</v>
      </c>
      <c r="I107" s="3866"/>
      <c r="J107" s="4000" t="s">
        <v>6933</v>
      </c>
      <c r="K107" s="4001"/>
      <c r="L107" s="3864" t="s">
        <v>6888</v>
      </c>
      <c r="M107" s="3864"/>
      <c r="N107" s="3864"/>
      <c r="O107" s="3865"/>
      <c r="P107" s="2304"/>
    </row>
    <row r="108" spans="1:21" ht="24.6" customHeight="1">
      <c r="B108" s="2434"/>
      <c r="C108" s="2434"/>
      <c r="D108" s="2434"/>
      <c r="E108" s="2433"/>
      <c r="F108" s="3866"/>
      <c r="G108" s="3866"/>
      <c r="H108" s="3866"/>
      <c r="I108" s="3866"/>
      <c r="J108" s="4002"/>
      <c r="K108" s="4003"/>
      <c r="L108" s="3866"/>
      <c r="M108" s="3866"/>
      <c r="N108" s="3866"/>
      <c r="O108" s="3865"/>
      <c r="P108" s="2304"/>
    </row>
    <row r="109" spans="1:21" ht="15.95" customHeight="1">
      <c r="B109" s="2435" t="s">
        <v>6629</v>
      </c>
      <c r="C109" s="2436"/>
      <c r="D109" s="2433"/>
      <c r="E109" s="2433"/>
      <c r="F109" s="3867"/>
      <c r="G109" s="3867"/>
      <c r="H109" s="3867"/>
      <c r="I109" s="3867"/>
      <c r="J109" s="4004"/>
      <c r="K109" s="4005"/>
      <c r="L109" s="3867"/>
      <c r="M109" s="3867"/>
      <c r="N109" s="3867"/>
      <c r="O109" s="3868"/>
      <c r="P109" s="2304"/>
    </row>
    <row r="110" spans="1:21" ht="15.95" customHeight="1">
      <c r="B110" s="3988" t="s">
        <v>7083</v>
      </c>
      <c r="C110" s="3989"/>
      <c r="D110" s="3989"/>
      <c r="E110" s="3990"/>
      <c r="F110" s="3998" t="s">
        <v>2652</v>
      </c>
      <c r="G110" s="3999"/>
      <c r="H110" s="3998" t="s">
        <v>2649</v>
      </c>
      <c r="I110" s="3999"/>
      <c r="J110" s="3857" t="s">
        <v>2649</v>
      </c>
      <c r="K110" s="3859"/>
      <c r="L110" s="3857" t="s">
        <v>2649</v>
      </c>
      <c r="M110" s="3858"/>
      <c r="N110" s="3858"/>
      <c r="O110" s="3859"/>
      <c r="P110" s="2257"/>
    </row>
    <row r="111" spans="1:21" ht="15.95" customHeight="1">
      <c r="B111" s="3982" t="s">
        <v>7084</v>
      </c>
      <c r="C111" s="3983"/>
      <c r="D111" s="3983"/>
      <c r="E111" s="3984"/>
      <c r="F111" s="3995" t="s">
        <v>2652</v>
      </c>
      <c r="G111" s="3996"/>
      <c r="H111" s="3995" t="s">
        <v>2649</v>
      </c>
      <c r="I111" s="3996"/>
      <c r="J111" s="3854" t="s">
        <v>2652</v>
      </c>
      <c r="K111" s="3856"/>
      <c r="L111" s="3854" t="s">
        <v>2649</v>
      </c>
      <c r="M111" s="3855"/>
      <c r="N111" s="3855"/>
      <c r="O111" s="3856"/>
      <c r="P111" s="2270"/>
    </row>
    <row r="112" spans="1:21" ht="15.95" customHeight="1">
      <c r="B112" s="3982" t="s">
        <v>7085</v>
      </c>
      <c r="C112" s="3983"/>
      <c r="D112" s="3983"/>
      <c r="E112" s="3984"/>
      <c r="F112" s="3995" t="s">
        <v>2652</v>
      </c>
      <c r="G112" s="3996"/>
      <c r="H112" s="3995" t="s">
        <v>2649</v>
      </c>
      <c r="I112" s="3996"/>
      <c r="J112" s="3854" t="s">
        <v>2652</v>
      </c>
      <c r="K112" s="3856"/>
      <c r="L112" s="3854" t="s">
        <v>2649</v>
      </c>
      <c r="M112" s="3855"/>
      <c r="N112" s="3855"/>
      <c r="O112" s="3856"/>
      <c r="P112" s="2270"/>
    </row>
    <row r="113" spans="1:21" ht="15.95" customHeight="1">
      <c r="B113" s="3982" t="s">
        <v>7086</v>
      </c>
      <c r="C113" s="3983"/>
      <c r="D113" s="3983"/>
      <c r="E113" s="3984"/>
      <c r="F113" s="3995" t="s">
        <v>2652</v>
      </c>
      <c r="G113" s="3996"/>
      <c r="H113" s="3995" t="s">
        <v>2649</v>
      </c>
      <c r="I113" s="3996"/>
      <c r="J113" s="3854" t="s">
        <v>2649</v>
      </c>
      <c r="K113" s="3856"/>
      <c r="L113" s="3854" t="s">
        <v>2649</v>
      </c>
      <c r="M113" s="3855"/>
      <c r="N113" s="3855"/>
      <c r="O113" s="3856"/>
      <c r="P113" s="2270"/>
    </row>
    <row r="114" spans="1:21" ht="15.95" customHeight="1">
      <c r="B114" s="3982"/>
      <c r="C114" s="3983"/>
      <c r="D114" s="3983"/>
      <c r="E114" s="3984"/>
      <c r="F114" s="3995"/>
      <c r="G114" s="3996"/>
      <c r="H114" s="3995"/>
      <c r="I114" s="3996"/>
      <c r="J114" s="3854"/>
      <c r="K114" s="3856"/>
      <c r="L114" s="3854"/>
      <c r="M114" s="3855"/>
      <c r="N114" s="3855"/>
      <c r="O114" s="3856"/>
      <c r="P114" s="2270"/>
    </row>
    <row r="115" spans="1:21" ht="15.95" customHeight="1">
      <c r="B115" s="3985"/>
      <c r="C115" s="3986"/>
      <c r="D115" s="3986"/>
      <c r="E115" s="3987"/>
      <c r="F115" s="3991"/>
      <c r="G115" s="3992"/>
      <c r="H115" s="3991"/>
      <c r="I115" s="3992"/>
      <c r="J115" s="3993"/>
      <c r="K115" s="3994"/>
      <c r="L115" s="3993"/>
      <c r="M115" s="3997"/>
      <c r="N115" s="3997"/>
      <c r="O115" s="3994"/>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340.5" customHeight="1" thickTop="1" thickBot="1">
      <c r="A117" s="3869" t="s">
        <v>7097</v>
      </c>
      <c r="B117" s="3870"/>
      <c r="C117" s="3870"/>
      <c r="D117" s="3870"/>
      <c r="E117" s="3870"/>
      <c r="F117" s="3870"/>
      <c r="G117" s="3870"/>
      <c r="H117" s="3870"/>
      <c r="I117" s="3870"/>
      <c r="J117" s="3870"/>
      <c r="K117" s="3870"/>
      <c r="L117" s="3870"/>
      <c r="M117" s="3870"/>
      <c r="N117" s="3870"/>
      <c r="O117" s="3870"/>
      <c r="P117" s="3871"/>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2"/>
      <c r="B119" s="3873"/>
      <c r="C119" s="3873"/>
      <c r="D119" s="3873"/>
      <c r="E119" s="3873"/>
      <c r="F119" s="3873"/>
      <c r="G119" s="3873"/>
      <c r="H119" s="3873"/>
      <c r="I119" s="3873"/>
      <c r="J119" s="3873"/>
      <c r="K119" s="3873"/>
      <c r="L119" s="3873"/>
      <c r="M119" s="3873"/>
      <c r="N119" s="3873"/>
      <c r="O119" s="3873"/>
      <c r="P119" s="3874"/>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8" t="s">
        <v>7104</v>
      </c>
      <c r="N125" s="3989"/>
      <c r="O125" s="3989"/>
      <c r="P125" s="3990"/>
      <c r="S125" s="2118"/>
      <c r="T125" s="2118"/>
      <c r="U125" s="2118"/>
    </row>
    <row r="126" spans="1:21" s="2121" customFormat="1" ht="15.95" customHeight="1">
      <c r="B126" s="2254"/>
      <c r="C126" s="2121" t="s">
        <v>6852</v>
      </c>
      <c r="L126" s="2254"/>
      <c r="M126" s="3982" t="s">
        <v>7105</v>
      </c>
      <c r="N126" s="3983"/>
      <c r="O126" s="3983"/>
      <c r="P126" s="3984"/>
      <c r="S126" s="2118"/>
      <c r="T126" s="2118"/>
      <c r="U126" s="2118"/>
    </row>
    <row r="127" spans="1:21" s="2121" customFormat="1" ht="15.95" customHeight="1">
      <c r="B127" s="2254"/>
      <c r="C127" s="2121" t="s">
        <v>6853</v>
      </c>
      <c r="L127" s="2254"/>
      <c r="M127" s="3982" t="s">
        <v>7106</v>
      </c>
      <c r="N127" s="3983"/>
      <c r="O127" s="3983"/>
      <c r="P127" s="3984"/>
      <c r="Q127" s="2312">
        <f>IF(K127="Yes",1,0)</f>
        <v>0</v>
      </c>
      <c r="S127" s="2118"/>
      <c r="T127" s="2118"/>
      <c r="U127" s="2118"/>
    </row>
    <row r="128" spans="1:21" s="2121" customFormat="1" ht="15.95" customHeight="1">
      <c r="A128" s="2254"/>
      <c r="B128" s="2254"/>
      <c r="C128" s="2121" t="s">
        <v>6854</v>
      </c>
      <c r="L128" s="2254"/>
      <c r="M128" s="3982" t="s">
        <v>7107</v>
      </c>
      <c r="N128" s="3983"/>
      <c r="O128" s="3983"/>
      <c r="P128" s="3984"/>
      <c r="Q128" s="2312">
        <f>IF(K128="Yes",1,0)</f>
        <v>0</v>
      </c>
      <c r="S128" s="2118"/>
      <c r="T128" s="2118"/>
      <c r="U128" s="2118"/>
    </row>
    <row r="129" spans="1:22" s="2121" customFormat="1" ht="15.95" customHeight="1">
      <c r="A129" s="2254"/>
      <c r="B129" s="2254"/>
      <c r="C129" s="2121" t="s">
        <v>6891</v>
      </c>
      <c r="L129" s="2254"/>
      <c r="M129" s="3985" t="s">
        <v>7108</v>
      </c>
      <c r="N129" s="3986"/>
      <c r="O129" s="3986"/>
      <c r="P129" s="3987"/>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8" t="s">
        <v>6855</v>
      </c>
      <c r="D132" s="3878"/>
      <c r="E132" s="3878"/>
      <c r="F132" s="3878"/>
      <c r="G132" s="3878"/>
      <c r="H132" s="3878"/>
      <c r="I132" s="3878"/>
      <c r="J132" s="3878"/>
      <c r="K132" s="3878"/>
      <c r="L132" s="3878"/>
      <c r="M132" s="2286">
        <v>1</v>
      </c>
      <c r="N132" s="2310"/>
      <c r="O132" s="2314">
        <v>1</v>
      </c>
      <c r="P132" s="2315"/>
      <c r="Q132" s="2242" t="str">
        <f>IF(OR($O132=$M132,$O132=0,$O132=""),"","*CHECK!*")</f>
        <v/>
      </c>
      <c r="R132" s="2305"/>
    </row>
    <row r="133" spans="1:22" ht="30.75" customHeight="1">
      <c r="A133" s="2235"/>
      <c r="B133" s="2310"/>
      <c r="C133" s="3878" t="s">
        <v>6899</v>
      </c>
      <c r="D133" s="3878"/>
      <c r="E133" s="3878"/>
      <c r="F133" s="3878"/>
      <c r="G133" s="3878"/>
      <c r="H133" s="3878"/>
      <c r="I133" s="3878"/>
      <c r="J133" s="3878"/>
      <c r="K133" s="3878"/>
      <c r="L133" s="3878"/>
      <c r="M133" s="2286">
        <v>1</v>
      </c>
      <c r="N133" s="2310"/>
      <c r="O133" s="2316">
        <v>1</v>
      </c>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409.6" customHeight="1" thickTop="1" thickBot="1">
      <c r="A137" s="3869" t="s">
        <v>7109</v>
      </c>
      <c r="B137" s="3870"/>
      <c r="C137" s="3870"/>
      <c r="D137" s="3870"/>
      <c r="E137" s="3870"/>
      <c r="F137" s="3870"/>
      <c r="G137" s="3870"/>
      <c r="H137" s="3870"/>
      <c r="I137" s="3870"/>
      <c r="J137" s="3870"/>
      <c r="K137" s="3870"/>
      <c r="L137" s="3870"/>
      <c r="M137" s="3870"/>
      <c r="N137" s="3870"/>
      <c r="O137" s="3870"/>
      <c r="P137" s="3871"/>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2"/>
      <c r="B139" s="3873"/>
      <c r="C139" s="3873"/>
      <c r="D139" s="3873"/>
      <c r="E139" s="3873"/>
      <c r="F139" s="3873"/>
      <c r="G139" s="3873"/>
      <c r="H139" s="3873"/>
      <c r="I139" s="3873"/>
      <c r="J139" s="3873"/>
      <c r="K139" s="3873"/>
      <c r="L139" s="3873"/>
      <c r="M139" s="3873"/>
      <c r="N139" s="3873"/>
      <c r="O139" s="3873"/>
      <c r="P139" s="3874"/>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3" t="s">
        <v>6898</v>
      </c>
      <c r="C145" s="3943"/>
      <c r="D145" s="3943"/>
      <c r="E145" s="3943"/>
      <c r="F145" s="3943"/>
      <c r="G145" s="3943"/>
      <c r="H145" s="3943"/>
      <c r="I145" s="3943"/>
      <c r="J145" s="3943"/>
      <c r="K145" s="3943"/>
      <c r="L145" s="3943"/>
      <c r="M145" s="3943"/>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9" t="s">
        <v>7087</v>
      </c>
      <c r="B147" s="3870"/>
      <c r="C147" s="3870"/>
      <c r="D147" s="3870"/>
      <c r="E147" s="3870"/>
      <c r="F147" s="3870"/>
      <c r="G147" s="3870"/>
      <c r="H147" s="3870"/>
      <c r="I147" s="3870"/>
      <c r="J147" s="3870"/>
      <c r="K147" s="3870"/>
      <c r="L147" s="3870"/>
      <c r="M147" s="3870"/>
      <c r="N147" s="3870"/>
      <c r="O147" s="3870"/>
      <c r="P147" s="3871"/>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2"/>
      <c r="B149" s="3873"/>
      <c r="C149" s="3873"/>
      <c r="D149" s="3873"/>
      <c r="E149" s="3873"/>
      <c r="F149" s="3873"/>
      <c r="G149" s="3873"/>
      <c r="H149" s="3873"/>
      <c r="I149" s="3873"/>
      <c r="J149" s="3873"/>
      <c r="K149" s="3873"/>
      <c r="L149" s="3873"/>
      <c r="M149" s="3873"/>
      <c r="N149" s="3873"/>
      <c r="O149" s="3873"/>
      <c r="P149" s="3874"/>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4" t="s">
        <v>3204</v>
      </c>
      <c r="K154" s="3975"/>
      <c r="L154" s="3976" t="s">
        <v>3204</v>
      </c>
      <c r="M154" s="3977"/>
      <c r="N154" s="2123"/>
      <c r="R154" s="2203"/>
      <c r="S154" s="2121"/>
    </row>
    <row r="155" spans="1:27" ht="15.95" customHeight="1">
      <c r="C155" s="2331" t="s">
        <v>6892</v>
      </c>
      <c r="J155" s="3978"/>
      <c r="K155" s="3979"/>
      <c r="L155" s="3979"/>
      <c r="M155" s="398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81" t="s">
        <v>6218</v>
      </c>
      <c r="F158" s="3981"/>
      <c r="G158" s="3981"/>
      <c r="H158" s="3981"/>
      <c r="I158" s="2139" t="s">
        <v>6893</v>
      </c>
      <c r="J158" s="3981" t="s">
        <v>6218</v>
      </c>
      <c r="K158" s="3981"/>
      <c r="L158" s="3981"/>
      <c r="M158" s="3981"/>
      <c r="N158" s="2120"/>
      <c r="O158" s="2120"/>
      <c r="P158" s="2120"/>
    </row>
    <row r="159" spans="1:27" ht="15.95" customHeight="1">
      <c r="C159" s="2121" t="s">
        <v>6217</v>
      </c>
      <c r="E159" s="3968"/>
      <c r="F159" s="3969"/>
      <c r="G159" s="3969"/>
      <c r="H159" s="3970"/>
      <c r="I159" s="2441"/>
      <c r="J159" s="3971"/>
      <c r="K159" s="3972"/>
      <c r="L159" s="3972"/>
      <c r="M159" s="3973"/>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8"/>
      <c r="F160" s="3969"/>
      <c r="G160" s="3969"/>
      <c r="H160" s="3970"/>
      <c r="I160" s="2442"/>
      <c r="J160" s="3971"/>
      <c r="K160" s="3972"/>
      <c r="L160" s="3972"/>
      <c r="M160" s="3973"/>
      <c r="N160" s="2120"/>
      <c r="Q160" s="2132"/>
      <c r="R160" s="2132"/>
      <c r="S160" s="2132"/>
      <c r="T160" s="2132"/>
      <c r="U160" s="2132"/>
      <c r="V160" s="2132"/>
      <c r="W160" s="2132"/>
      <c r="X160" s="2132"/>
      <c r="Y160" s="2132"/>
      <c r="Z160" s="2132"/>
      <c r="AA160" s="2334"/>
    </row>
    <row r="161" spans="1:27" ht="15.95" customHeight="1">
      <c r="C161" s="2121" t="s">
        <v>6215</v>
      </c>
      <c r="E161" s="3960"/>
      <c r="F161" s="3961"/>
      <c r="G161" s="3961"/>
      <c r="H161" s="3962"/>
      <c r="I161" s="2443"/>
      <c r="J161" s="3963"/>
      <c r="K161" s="3964"/>
      <c r="L161" s="3964"/>
      <c r="M161" s="3965"/>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9" t="s">
        <v>7087</v>
      </c>
      <c r="B165" s="3870"/>
      <c r="C165" s="3870"/>
      <c r="D165" s="3870"/>
      <c r="E165" s="3870"/>
      <c r="F165" s="3870"/>
      <c r="G165" s="3870"/>
      <c r="H165" s="3870"/>
      <c r="I165" s="3870"/>
      <c r="J165" s="3870"/>
      <c r="K165" s="3870"/>
      <c r="L165" s="3870"/>
      <c r="M165" s="3870"/>
      <c r="N165" s="3870"/>
      <c r="O165" s="3870"/>
      <c r="P165" s="3871"/>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2"/>
      <c r="B168" s="3873"/>
      <c r="C168" s="3873"/>
      <c r="D168" s="3873"/>
      <c r="E168" s="3873"/>
      <c r="F168" s="3873"/>
      <c r="G168" s="3873"/>
      <c r="H168" s="3873"/>
      <c r="I168" s="3873"/>
      <c r="J168" s="3873"/>
      <c r="K168" s="3873"/>
      <c r="L168" s="3873"/>
      <c r="M168" s="3873"/>
      <c r="N168" s="3873"/>
      <c r="O168" s="3873"/>
      <c r="P168" s="3874"/>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6" t="str">
        <f>'Part V-Revenues &amp; Expenses'!$O$53</f>
        <v>Income Averaging</v>
      </c>
      <c r="L171" s="3967"/>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2"/>
      <c r="B176" s="3873"/>
      <c r="C176" s="3873"/>
      <c r="D176" s="3873"/>
      <c r="E176" s="3873"/>
      <c r="F176" s="3873"/>
      <c r="G176" s="3873"/>
      <c r="H176" s="3873"/>
      <c r="I176" s="3873"/>
      <c r="J176" s="3873"/>
      <c r="K176" s="3873"/>
      <c r="L176" s="3873"/>
      <c r="M176" s="3873"/>
      <c r="N176" s="3873"/>
      <c r="O176" s="3873"/>
      <c r="P176" s="3874"/>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8"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8"/>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9" t="s">
        <v>7087</v>
      </c>
      <c r="B184" s="3870"/>
      <c r="C184" s="3870"/>
      <c r="D184" s="3870"/>
      <c r="E184" s="3870"/>
      <c r="F184" s="3870"/>
      <c r="G184" s="3870"/>
      <c r="H184" s="3870"/>
      <c r="I184" s="3870"/>
      <c r="J184" s="3870"/>
      <c r="K184" s="3870"/>
      <c r="L184" s="3870"/>
      <c r="M184" s="3870"/>
      <c r="N184" s="3870"/>
      <c r="O184" s="3870"/>
      <c r="P184" s="3871"/>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2"/>
      <c r="B186" s="3873"/>
      <c r="C186" s="3873"/>
      <c r="D186" s="3873"/>
      <c r="E186" s="3873"/>
      <c r="F186" s="3873"/>
      <c r="G186" s="3873"/>
      <c r="H186" s="3873"/>
      <c r="I186" s="3873"/>
      <c r="J186" s="3873"/>
      <c r="K186" s="3873"/>
      <c r="L186" s="3873"/>
      <c r="M186" s="3873"/>
      <c r="N186" s="3873"/>
      <c r="O186" s="3873"/>
      <c r="P186" s="3874"/>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6857</v>
      </c>
      <c r="H190" s="3850" t="s">
        <v>574</v>
      </c>
      <c r="I190" s="3850"/>
      <c r="J190" s="3850"/>
      <c r="K190" s="3959" t="s">
        <v>6929</v>
      </c>
      <c r="L190" s="3959"/>
      <c r="M190" s="3959"/>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5"/>
      <c r="I191" s="3956"/>
      <c r="J191" s="3957"/>
      <c r="K191" s="3951"/>
      <c r="L191" s="3951"/>
      <c r="M191" s="3951"/>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2"/>
      <c r="I192" s="3953"/>
      <c r="J192" s="3954"/>
      <c r="K192" s="3950"/>
      <c r="L192" s="3950"/>
      <c r="M192" s="3950"/>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9" t="s">
        <v>7087</v>
      </c>
      <c r="B195" s="3870"/>
      <c r="C195" s="3870"/>
      <c r="D195" s="3870"/>
      <c r="E195" s="3870"/>
      <c r="F195" s="3870"/>
      <c r="G195" s="3870"/>
      <c r="H195" s="3870"/>
      <c r="I195" s="3870"/>
      <c r="J195" s="3870"/>
      <c r="K195" s="3870"/>
      <c r="L195" s="3870"/>
      <c r="M195" s="3870"/>
      <c r="N195" s="3870"/>
      <c r="O195" s="3870"/>
      <c r="P195" s="3871"/>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2"/>
      <c r="B197" s="3873"/>
      <c r="C197" s="3873"/>
      <c r="D197" s="3873"/>
      <c r="E197" s="3873"/>
      <c r="F197" s="3873"/>
      <c r="G197" s="3873"/>
      <c r="H197" s="3873"/>
      <c r="I197" s="3873"/>
      <c r="J197" s="3873"/>
      <c r="K197" s="3873"/>
      <c r="L197" s="3873"/>
      <c r="M197" s="3873"/>
      <c r="N197" s="3873"/>
      <c r="O197" s="3873"/>
      <c r="P197" s="3874"/>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6937</v>
      </c>
      <c r="M201" s="2123">
        <v>5</v>
      </c>
      <c r="N201" s="2254"/>
      <c r="O201" s="2353">
        <v>5</v>
      </c>
      <c r="P201" s="2354"/>
      <c r="Q201" s="2320" t="str">
        <f>IF(OR($O201=$M201,$O201=$M201-1,$O201=0,$O201=""),"","*CHECK!*")</f>
        <v/>
      </c>
      <c r="R201" s="2305"/>
      <c r="S201" s="2118"/>
      <c r="T201" s="2118"/>
      <c r="U201" s="2118"/>
      <c r="V201" s="2118"/>
    </row>
    <row r="202" spans="1:24" s="2121" customFormat="1" ht="15.95" customHeight="1">
      <c r="A202" s="2138" t="s">
        <v>1843</v>
      </c>
      <c r="B202" s="2131" t="s">
        <v>6935</v>
      </c>
      <c r="M202" s="2123">
        <v>3</v>
      </c>
      <c r="N202" s="2254"/>
      <c r="O202" s="2240"/>
      <c r="P202" s="2241"/>
      <c r="Q202" s="2320" t="str">
        <f>IF(OR($O202=$M202,$O202=$M202-1,$O202=0,$O202=""),"","*CHECK!*")</f>
        <v/>
      </c>
      <c r="R202" s="2305"/>
    </row>
    <row r="203" spans="1:24" ht="15.95" customHeight="1">
      <c r="A203" s="2138" t="s">
        <v>698</v>
      </c>
      <c r="B203" s="2131" t="s">
        <v>6936</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48.6" customHeight="1" thickTop="1" thickBot="1">
      <c r="A205" s="3869" t="s">
        <v>7092</v>
      </c>
      <c r="B205" s="3870"/>
      <c r="C205" s="3870"/>
      <c r="D205" s="3870"/>
      <c r="E205" s="3870"/>
      <c r="F205" s="3870"/>
      <c r="G205" s="3870"/>
      <c r="H205" s="3870"/>
      <c r="I205" s="3870"/>
      <c r="J205" s="3870"/>
      <c r="K205" s="3870"/>
      <c r="L205" s="3870"/>
      <c r="M205" s="3870"/>
      <c r="N205" s="3870"/>
      <c r="O205" s="3870"/>
      <c r="P205" s="3871"/>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2"/>
      <c r="B207" s="3873"/>
      <c r="C207" s="3873"/>
      <c r="D207" s="3873"/>
      <c r="E207" s="3873"/>
      <c r="F207" s="3873"/>
      <c r="G207" s="3873"/>
      <c r="H207" s="3873"/>
      <c r="I207" s="3873"/>
      <c r="J207" s="3873"/>
      <c r="K207" s="3873"/>
      <c r="L207" s="3873"/>
      <c r="M207" s="3873"/>
      <c r="N207" s="3873"/>
      <c r="O207" s="3873"/>
      <c r="P207" s="3874"/>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3" t="s">
        <v>6894</v>
      </c>
      <c r="C216" s="3943"/>
      <c r="D216" s="3943"/>
      <c r="E216" s="3943"/>
      <c r="F216" s="3943"/>
      <c r="G216" s="3943"/>
      <c r="H216" s="3943"/>
      <c r="I216" s="3943"/>
      <c r="J216" s="3943"/>
      <c r="K216" s="3943"/>
      <c r="L216" s="3943"/>
      <c r="M216" s="2123"/>
      <c r="N216" s="2254"/>
      <c r="O216" s="2358" t="s">
        <v>2652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8" t="s">
        <v>6938</v>
      </c>
      <c r="C218" s="3878"/>
      <c r="D218" s="3878"/>
      <c r="E218" s="3878"/>
      <c r="F218" s="3878"/>
      <c r="G218" s="3878"/>
      <c r="H218" s="3878"/>
      <c r="I218" s="3878"/>
      <c r="J218" s="3878"/>
      <c r="K218" s="3878"/>
      <c r="L218" s="3878"/>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2"/>
      <c r="B220" s="3873"/>
      <c r="C220" s="3873"/>
      <c r="D220" s="3873"/>
      <c r="E220" s="3873"/>
      <c r="F220" s="3873"/>
      <c r="G220" s="3873"/>
      <c r="H220" s="3873"/>
      <c r="I220" s="3873"/>
      <c r="J220" s="3873"/>
      <c r="K220" s="3873"/>
      <c r="L220" s="3873"/>
      <c r="M220" s="3873"/>
      <c r="N220" s="3873"/>
      <c r="O220" s="3873"/>
      <c r="P220" s="3874"/>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3" t="s">
        <v>6895</v>
      </c>
      <c r="C225" s="3933"/>
      <c r="D225" s="3933"/>
      <c r="E225" s="3933"/>
      <c r="F225" s="3933"/>
      <c r="G225" s="3933"/>
      <c r="H225" s="3933"/>
      <c r="I225" s="3933"/>
      <c r="J225" s="3933"/>
      <c r="K225" s="3933"/>
      <c r="L225" s="3933"/>
      <c r="M225" s="2139"/>
      <c r="O225" s="2139"/>
      <c r="P225" s="2139"/>
      <c r="Q225" s="2342"/>
      <c r="R225" s="2118"/>
      <c r="S225" s="2118"/>
      <c r="T225" s="2118"/>
      <c r="U225" s="2118"/>
      <c r="V225" s="2118"/>
    </row>
    <row r="226" spans="1:24" ht="15.95" customHeight="1">
      <c r="B226" s="3893"/>
      <c r="C226" s="3894"/>
      <c r="D226" s="3894"/>
      <c r="E226" s="3894"/>
      <c r="F226" s="3894"/>
      <c r="G226" s="3894"/>
      <c r="H226" s="3894"/>
      <c r="I226" s="3894"/>
      <c r="J226" s="3894"/>
      <c r="K226" s="3894"/>
      <c r="L226" s="3894"/>
      <c r="M226" s="3894"/>
      <c r="N226" s="3894"/>
      <c r="O226" s="3894"/>
      <c r="P226" s="3895"/>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9" t="s">
        <v>7087</v>
      </c>
      <c r="B228" s="3870"/>
      <c r="C228" s="3870"/>
      <c r="D228" s="3870"/>
      <c r="E228" s="3870"/>
      <c r="F228" s="3870"/>
      <c r="G228" s="3870"/>
      <c r="H228" s="3870"/>
      <c r="I228" s="3870"/>
      <c r="J228" s="3870"/>
      <c r="K228" s="3870"/>
      <c r="L228" s="3870"/>
      <c r="M228" s="3870"/>
      <c r="N228" s="3870"/>
      <c r="O228" s="3870"/>
      <c r="P228" s="3871"/>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2"/>
      <c r="B230" s="3873"/>
      <c r="C230" s="3873"/>
      <c r="D230" s="3873"/>
      <c r="E230" s="3873"/>
      <c r="F230" s="3873"/>
      <c r="G230" s="3873"/>
      <c r="H230" s="3873"/>
      <c r="I230" s="3873"/>
      <c r="J230" s="3873"/>
      <c r="K230" s="3873"/>
      <c r="L230" s="3873"/>
      <c r="M230" s="3873"/>
      <c r="N230" s="3873"/>
      <c r="O230" s="3873"/>
      <c r="P230" s="3874"/>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4" t="s">
        <v>6897</v>
      </c>
      <c r="P234" s="3944" t="s">
        <v>3150</v>
      </c>
      <c r="Q234" s="2203"/>
      <c r="R234" s="2118"/>
      <c r="S234" s="2118"/>
      <c r="T234" s="2118"/>
      <c r="U234" s="2118"/>
      <c r="V234" s="2118"/>
      <c r="W234" s="2120"/>
      <c r="X234" s="2120"/>
    </row>
    <row r="235" spans="1:24" s="2121" customFormat="1" ht="15.95" customHeight="1">
      <c r="A235" s="2142"/>
      <c r="C235" s="2121" t="s">
        <v>6692</v>
      </c>
      <c r="I235" s="3934" t="s">
        <v>2852</v>
      </c>
      <c r="J235" s="3935"/>
      <c r="K235" s="3876"/>
      <c r="L235" s="3877"/>
      <c r="M235" s="2210"/>
      <c r="O235" s="3866"/>
      <c r="P235" s="3866"/>
      <c r="Q235" s="2203"/>
      <c r="R235" s="2118"/>
      <c r="S235" s="2118"/>
      <c r="T235" s="2118"/>
      <c r="U235" s="2118"/>
      <c r="V235" s="2118"/>
      <c r="W235" s="2120"/>
      <c r="X235" s="2120"/>
    </row>
    <row r="236" spans="1:24" s="2121" customFormat="1" ht="15.95" customHeight="1">
      <c r="A236" s="2142"/>
      <c r="C236" s="2121" t="s">
        <v>6691</v>
      </c>
      <c r="I236" s="3936" t="s">
        <v>2852</v>
      </c>
      <c r="J236" s="3937"/>
      <c r="M236" s="2210"/>
      <c r="O236" s="3866"/>
      <c r="P236" s="3866"/>
      <c r="Q236" s="2203"/>
      <c r="R236" s="2118"/>
      <c r="S236" s="2118"/>
      <c r="T236" s="2118"/>
      <c r="U236" s="2118"/>
      <c r="V236" s="2118"/>
      <c r="W236" s="2120"/>
      <c r="X236" s="2120"/>
    </row>
    <row r="237" spans="1:24" s="2121" customFormat="1" ht="15.95" customHeight="1">
      <c r="A237" s="2142"/>
      <c r="C237" s="2121" t="s">
        <v>6693</v>
      </c>
      <c r="I237" s="3941" t="s">
        <v>7088</v>
      </c>
      <c r="J237" s="3942"/>
      <c r="K237" s="3876"/>
      <c r="L237" s="3877"/>
      <c r="M237" s="2210"/>
      <c r="O237" s="3866"/>
      <c r="P237" s="3866"/>
      <c r="Q237" s="2203"/>
      <c r="R237" s="2118"/>
      <c r="S237" s="2118"/>
      <c r="T237" s="2118"/>
      <c r="U237" s="2118"/>
      <c r="V237" s="2118"/>
      <c r="W237" s="2120"/>
      <c r="X237" s="2120"/>
    </row>
    <row r="238" spans="1:24" ht="4.5" customHeight="1">
      <c r="A238" s="2142"/>
      <c r="B238" s="2121"/>
      <c r="H238" s="2131"/>
      <c r="M238" s="2124"/>
      <c r="N238" s="2254"/>
      <c r="O238" s="3867"/>
      <c r="P238" s="3867"/>
      <c r="Q238" s="2203"/>
      <c r="R238" s="2267"/>
      <c r="S238" s="2267"/>
      <c r="T238" s="2267"/>
      <c r="U238" s="2267"/>
    </row>
    <row r="239" spans="1:24" ht="30.75" customHeight="1" thickBot="1">
      <c r="A239" s="2362"/>
      <c r="B239" s="2254"/>
      <c r="C239" s="3943" t="s">
        <v>6859</v>
      </c>
      <c r="D239" s="3943"/>
      <c r="E239" s="3943"/>
      <c r="F239" s="3943"/>
      <c r="G239" s="3943"/>
      <c r="H239" s="3943"/>
      <c r="I239" s="3943"/>
      <c r="J239" s="3943"/>
      <c r="K239" s="3943"/>
      <c r="L239" s="3943"/>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8" t="s">
        <v>6587</v>
      </c>
      <c r="D242" s="3878"/>
      <c r="E242" s="3878"/>
      <c r="F242" s="3878"/>
      <c r="G242" s="3878"/>
      <c r="H242" s="3878"/>
      <c r="I242" s="3878"/>
      <c r="J242" s="3878"/>
      <c r="K242" s="3878"/>
      <c r="L242" s="3878"/>
      <c r="M242" s="3878"/>
      <c r="N242" s="2377"/>
      <c r="O242" s="2256" t="s">
        <v>2649</v>
      </c>
      <c r="P242" s="2257"/>
      <c r="Q242" s="2366"/>
      <c r="R242" s="2367"/>
      <c r="S242" s="2367"/>
      <c r="T242" s="2367"/>
      <c r="U242" s="2367"/>
    </row>
    <row r="243" spans="1:22" s="2157" customFormat="1" ht="29.25" customHeight="1" thickBot="1">
      <c r="A243" s="2365"/>
      <c r="B243" s="2285"/>
      <c r="C243" s="3878" t="s">
        <v>6860</v>
      </c>
      <c r="D243" s="3878"/>
      <c r="E243" s="3878"/>
      <c r="F243" s="3878"/>
      <c r="G243" s="3878"/>
      <c r="H243" s="3878"/>
      <c r="I243" s="3878"/>
      <c r="J243" s="3878"/>
      <c r="K243" s="3878"/>
      <c r="L243" s="3878"/>
      <c r="M243" s="3878"/>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t="s">
        <v>7049</v>
      </c>
      <c r="P245" s="2257"/>
      <c r="Q245" s="2364"/>
      <c r="R245" s="2305"/>
      <c r="S245" s="2118"/>
      <c r="T245" s="2118"/>
      <c r="U245" s="2118"/>
      <c r="V245" s="2118"/>
    </row>
    <row r="246" spans="1:22" s="2157" customFormat="1" ht="30" customHeight="1">
      <c r="A246" s="2365"/>
      <c r="B246" s="2285"/>
      <c r="C246" s="3878" t="s">
        <v>6934</v>
      </c>
      <c r="D246" s="3878"/>
      <c r="E246" s="3878"/>
      <c r="F246" s="3878"/>
      <c r="G246" s="3878"/>
      <c r="H246" s="3878"/>
      <c r="I246" s="3878"/>
      <c r="J246" s="3878"/>
      <c r="K246" s="3878"/>
      <c r="L246" s="3878"/>
      <c r="M246" s="3878"/>
      <c r="N246" s="2377"/>
      <c r="O246" s="2325" t="s">
        <v>7049</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9" t="s">
        <v>7089</v>
      </c>
      <c r="B248" s="3870"/>
      <c r="C248" s="3870"/>
      <c r="D248" s="3870"/>
      <c r="E248" s="3870"/>
      <c r="F248" s="3870"/>
      <c r="G248" s="3870"/>
      <c r="H248" s="3870"/>
      <c r="I248" s="3870"/>
      <c r="J248" s="3870"/>
      <c r="K248" s="3870"/>
      <c r="L248" s="3870"/>
      <c r="M248" s="3870"/>
      <c r="N248" s="3870"/>
      <c r="O248" s="3870"/>
      <c r="P248" s="3871"/>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2"/>
      <c r="B250" s="3873"/>
      <c r="C250" s="3873"/>
      <c r="D250" s="3873"/>
      <c r="E250" s="3873"/>
      <c r="F250" s="3873"/>
      <c r="G250" s="3873"/>
      <c r="H250" s="3873"/>
      <c r="I250" s="3873"/>
      <c r="J250" s="3873"/>
      <c r="K250" s="3873"/>
      <c r="L250" s="3873"/>
      <c r="M250" s="3873"/>
      <c r="N250" s="3873"/>
      <c r="O250" s="3873"/>
      <c r="P250" s="3874"/>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8"/>
      <c r="J254" s="3939"/>
      <c r="K254" s="3939"/>
      <c r="L254" s="3940"/>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44.45" customHeight="1" thickTop="1" thickBot="1">
      <c r="A257" s="3869" t="s">
        <v>7090</v>
      </c>
      <c r="B257" s="3870"/>
      <c r="C257" s="3870"/>
      <c r="D257" s="3870"/>
      <c r="E257" s="3870"/>
      <c r="F257" s="3870"/>
      <c r="G257" s="3870"/>
      <c r="H257" s="3870"/>
      <c r="I257" s="3870"/>
      <c r="J257" s="3870"/>
      <c r="K257" s="3870"/>
      <c r="L257" s="3870"/>
      <c r="M257" s="3870"/>
      <c r="N257" s="3870"/>
      <c r="O257" s="3870"/>
      <c r="P257" s="3871"/>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2"/>
      <c r="B259" s="3873"/>
      <c r="C259" s="3873"/>
      <c r="D259" s="3873"/>
      <c r="E259" s="3873"/>
      <c r="F259" s="3873"/>
      <c r="G259" s="3873"/>
      <c r="H259" s="3873"/>
      <c r="I259" s="3873"/>
      <c r="J259" s="3873"/>
      <c r="K259" s="3873"/>
      <c r="L259" s="3873"/>
      <c r="M259" s="3873"/>
      <c r="N259" s="3873"/>
      <c r="O259" s="3873"/>
      <c r="P259" s="3874"/>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t="s">
        <v>7049</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7049</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2"/>
      <c r="B268" s="3873"/>
      <c r="C268" s="3873"/>
      <c r="D268" s="3873"/>
      <c r="E268" s="3873"/>
      <c r="F268" s="3873"/>
      <c r="G268" s="3873"/>
      <c r="H268" s="3873"/>
      <c r="I268" s="3873"/>
      <c r="J268" s="3873"/>
      <c r="K268" s="3873"/>
      <c r="L268" s="3873"/>
      <c r="M268" s="3873"/>
      <c r="N268" s="3873"/>
      <c r="O268" s="3873"/>
      <c r="P268" s="3874"/>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5" t="s">
        <v>7091</v>
      </c>
      <c r="J272" s="3876"/>
      <c r="K272" s="3876"/>
      <c r="L272" s="3877"/>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14" customHeight="1" thickTop="1" thickBot="1">
      <c r="A275" s="3869" t="s">
        <v>7120</v>
      </c>
      <c r="B275" s="3870"/>
      <c r="C275" s="3870"/>
      <c r="D275" s="3870"/>
      <c r="E275" s="3870"/>
      <c r="F275" s="3870"/>
      <c r="G275" s="3870"/>
      <c r="H275" s="3870"/>
      <c r="I275" s="3870"/>
      <c r="J275" s="3870"/>
      <c r="K275" s="3870"/>
      <c r="L275" s="3870"/>
      <c r="M275" s="3870"/>
      <c r="N275" s="3870"/>
      <c r="O275" s="3870"/>
      <c r="P275" s="3871"/>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2"/>
      <c r="B277" s="3873"/>
      <c r="C277" s="3873"/>
      <c r="D277" s="3873"/>
      <c r="E277" s="3873"/>
      <c r="F277" s="3873"/>
      <c r="G277" s="3873"/>
      <c r="H277" s="3873"/>
      <c r="I277" s="3873"/>
      <c r="J277" s="3873"/>
      <c r="K277" s="3873"/>
      <c r="L277" s="3873"/>
      <c r="M277" s="3873"/>
      <c r="N277" s="3873"/>
      <c r="O277" s="3873"/>
      <c r="P277" s="3874"/>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2</v>
      </c>
      <c r="P280" s="2371">
        <f>P281+P302</f>
        <v>0</v>
      </c>
      <c r="Q280" s="2203" t="s">
        <v>416</v>
      </c>
    </row>
    <row r="281" spans="1:20" ht="15.95" customHeight="1" thickBot="1">
      <c r="A281" s="2313" t="s">
        <v>1841</v>
      </c>
      <c r="B281" s="2131" t="s">
        <v>3347</v>
      </c>
      <c r="L281" s="2232" t="str">
        <f>IF(O281&lt;=M281,"","* * Check Score! * *")</f>
        <v/>
      </c>
      <c r="M281" s="2123">
        <v>3</v>
      </c>
      <c r="N281" s="2254"/>
      <c r="O281" s="2372">
        <v>2</v>
      </c>
      <c r="P281" s="2373"/>
      <c r="Q281" s="2320" t="str">
        <f>IF(O281&lt;=M281,"","*CHECK!*")</f>
        <v/>
      </c>
      <c r="R281" s="2136"/>
      <c r="S281" s="2136"/>
      <c r="T281" s="2119"/>
    </row>
    <row r="282" spans="1:20" ht="30.95" customHeight="1">
      <c r="A282" s="2313"/>
      <c r="B282" s="3931" t="s">
        <v>6862</v>
      </c>
      <c r="C282" s="3931"/>
      <c r="D282" s="3931"/>
      <c r="E282" s="3931"/>
      <c r="F282" s="3931"/>
      <c r="G282" s="3931"/>
      <c r="H282" s="3931"/>
      <c r="I282" s="3931"/>
      <c r="J282" s="3931"/>
      <c r="K282" s="3931"/>
      <c r="L282" s="3931"/>
      <c r="N282" s="2120"/>
      <c r="O282" s="2374" t="s">
        <v>2649</v>
      </c>
      <c r="P282" s="2375"/>
      <c r="R282" s="2136"/>
      <c r="S282" s="2136"/>
      <c r="T282" s="2119"/>
    </row>
    <row r="283" spans="1:20" ht="15.95" customHeight="1">
      <c r="A283" s="2313"/>
      <c r="B283" s="2423"/>
      <c r="C283" s="2157"/>
      <c r="D283" s="2157"/>
      <c r="E283" s="2157"/>
      <c r="F283" s="2157"/>
      <c r="G283" s="2157"/>
      <c r="H283" s="2157"/>
      <c r="I283" s="2157"/>
      <c r="J283" s="3932" t="s">
        <v>1848</v>
      </c>
      <c r="K283" s="3932"/>
      <c r="M283" s="3932" t="s">
        <v>1848</v>
      </c>
      <c r="N283" s="3932"/>
      <c r="O283" s="3932"/>
      <c r="P283" s="3932"/>
      <c r="R283" s="2376"/>
      <c r="S283" s="2376"/>
      <c r="T283" s="2119"/>
    </row>
    <row r="284" spans="1:20" ht="15.95" customHeight="1">
      <c r="A284" s="2254"/>
      <c r="B284" s="2377" t="s">
        <v>1844</v>
      </c>
      <c r="C284" s="2121" t="s">
        <v>1388</v>
      </c>
      <c r="I284" s="2254"/>
      <c r="J284" s="3945"/>
      <c r="K284" s="3946"/>
      <c r="L284" s="2254"/>
      <c r="M284" s="3947"/>
      <c r="N284" s="3948"/>
      <c r="O284" s="3948"/>
      <c r="P284" s="3949"/>
      <c r="R284" s="2232"/>
    </row>
    <row r="285" spans="1:20" ht="15.95" customHeight="1">
      <c r="A285" s="2230"/>
      <c r="B285" s="2214" t="s">
        <v>1846</v>
      </c>
      <c r="C285" s="2121" t="s">
        <v>3155</v>
      </c>
      <c r="I285" s="2310"/>
      <c r="J285" s="3879"/>
      <c r="K285" s="3880"/>
      <c r="L285" s="2310"/>
      <c r="M285" s="3881"/>
      <c r="N285" s="3882"/>
      <c r="O285" s="3882"/>
      <c r="P285" s="3883"/>
      <c r="R285" s="2232"/>
    </row>
    <row r="286" spans="1:20" ht="15.95" customHeight="1">
      <c r="B286" s="2377" t="s">
        <v>2332</v>
      </c>
      <c r="C286" s="2121" t="s">
        <v>3953</v>
      </c>
      <c r="I286" s="2254"/>
      <c r="J286" s="3879"/>
      <c r="K286" s="3880"/>
      <c r="L286" s="2254"/>
      <c r="M286" s="3881"/>
      <c r="N286" s="3882"/>
      <c r="O286" s="3882"/>
      <c r="P286" s="3883"/>
      <c r="R286" s="2232"/>
    </row>
    <row r="287" spans="1:20" ht="15.95" customHeight="1">
      <c r="A287" s="2230"/>
      <c r="B287" s="2377" t="s">
        <v>1150</v>
      </c>
      <c r="C287" s="2121" t="s">
        <v>3071</v>
      </c>
      <c r="I287" s="2254"/>
      <c r="J287" s="3879"/>
      <c r="K287" s="3880"/>
      <c r="L287" s="2254"/>
      <c r="M287" s="3881"/>
      <c r="N287" s="3882"/>
      <c r="O287" s="3882"/>
      <c r="P287" s="3883"/>
      <c r="R287" s="2232"/>
    </row>
    <row r="288" spans="1:20" ht="15.95" customHeight="1">
      <c r="A288" s="2254"/>
      <c r="B288" s="2214" t="s">
        <v>1151</v>
      </c>
      <c r="C288" s="2121" t="s">
        <v>2473</v>
      </c>
      <c r="I288" s="2310"/>
      <c r="J288" s="3879"/>
      <c r="K288" s="3880"/>
      <c r="L288" s="2310"/>
      <c r="M288" s="3881"/>
      <c r="N288" s="3882"/>
      <c r="O288" s="3882"/>
      <c r="P288" s="3883"/>
      <c r="R288" s="2232"/>
    </row>
    <row r="289" spans="1:26" ht="15.95" customHeight="1">
      <c r="B289" s="2377" t="s">
        <v>1742</v>
      </c>
      <c r="C289" s="2121" t="s">
        <v>1387</v>
      </c>
      <c r="I289" s="2254"/>
      <c r="J289" s="3879"/>
      <c r="K289" s="3880"/>
      <c r="L289" s="2254"/>
      <c r="M289" s="3881"/>
      <c r="N289" s="3882"/>
      <c r="O289" s="3882"/>
      <c r="P289" s="3883"/>
      <c r="R289" s="2232"/>
    </row>
    <row r="290" spans="1:26" ht="15.95" customHeight="1">
      <c r="B290" s="2377" t="s">
        <v>473</v>
      </c>
      <c r="C290" s="2121" t="s">
        <v>6232</v>
      </c>
      <c r="I290" s="2254"/>
      <c r="J290" s="3879"/>
      <c r="K290" s="3880"/>
      <c r="L290" s="2254"/>
      <c r="M290" s="2378"/>
      <c r="N290" s="2379"/>
      <c r="O290" s="2379"/>
      <c r="P290" s="2380"/>
      <c r="R290" s="2232"/>
    </row>
    <row r="291" spans="1:26" ht="15.95" customHeight="1">
      <c r="A291" s="2230"/>
      <c r="B291" s="2377" t="s">
        <v>474</v>
      </c>
      <c r="C291" s="2121" t="s">
        <v>3154</v>
      </c>
      <c r="I291" s="2254"/>
      <c r="J291" s="3879"/>
      <c r="K291" s="3880"/>
      <c r="L291" s="2254"/>
      <c r="M291" s="3881"/>
      <c r="N291" s="3882"/>
      <c r="O291" s="3882"/>
      <c r="P291" s="3883"/>
      <c r="R291" s="2232"/>
    </row>
    <row r="292" spans="1:26" ht="15.95" customHeight="1">
      <c r="B292" s="2377" t="s">
        <v>3888</v>
      </c>
      <c r="C292" s="2121" t="s">
        <v>6863</v>
      </c>
      <c r="I292" s="2254"/>
      <c r="J292" s="3879"/>
      <c r="K292" s="3880"/>
      <c r="L292" s="2254"/>
      <c r="M292" s="3881"/>
      <c r="N292" s="3882"/>
      <c r="O292" s="3882"/>
      <c r="P292" s="3883"/>
      <c r="R292" s="2232"/>
    </row>
    <row r="293" spans="1:26" ht="15.95" customHeight="1">
      <c r="B293" s="2377" t="s">
        <v>6864</v>
      </c>
      <c r="C293" s="2121" t="s">
        <v>6901</v>
      </c>
      <c r="I293" s="2254"/>
      <c r="J293" s="3879"/>
      <c r="K293" s="3880"/>
      <c r="L293" s="2254"/>
      <c r="M293" s="3881"/>
      <c r="N293" s="3882"/>
      <c r="O293" s="3882"/>
      <c r="P293" s="3883"/>
      <c r="R293" s="2232"/>
    </row>
    <row r="294" spans="1:26" ht="15.95" customHeight="1" thickBot="1">
      <c r="B294" s="2377" t="s">
        <v>6865</v>
      </c>
      <c r="C294" s="2121" t="s">
        <v>6902</v>
      </c>
      <c r="I294" s="2254"/>
      <c r="J294" s="3879">
        <v>880000</v>
      </c>
      <c r="K294" s="3880"/>
      <c r="L294" s="2254"/>
      <c r="M294" s="3907"/>
      <c r="N294" s="3908"/>
      <c r="O294" s="3908"/>
      <c r="P294" s="3909"/>
      <c r="R294" s="2232"/>
    </row>
    <row r="295" spans="1:26" ht="15.95" customHeight="1" thickBot="1">
      <c r="B295" s="2121"/>
      <c r="I295" s="2138" t="s">
        <v>2413</v>
      </c>
      <c r="J295" s="3910">
        <f>SUM(J284:K294)</f>
        <v>880000</v>
      </c>
      <c r="K295" s="3911"/>
      <c r="M295" s="3910">
        <f>SUM($M284:$M294)</f>
        <v>0</v>
      </c>
      <c r="N295" s="3912"/>
      <c r="O295" s="3912"/>
      <c r="P295" s="3911"/>
      <c r="R295" s="2232"/>
    </row>
    <row r="296" spans="1:26" ht="15.95" customHeight="1">
      <c r="M296" s="2136"/>
      <c r="N296" s="2136"/>
      <c r="O296" s="2120"/>
      <c r="P296" s="2136"/>
      <c r="U296" s="3850" t="s">
        <v>6907</v>
      </c>
      <c r="V296" s="3850"/>
      <c r="W296" s="3850"/>
      <c r="X296" s="3850"/>
      <c r="Y296" s="3850"/>
      <c r="Z296" s="3850"/>
    </row>
    <row r="297" spans="1:26" ht="15.95" customHeight="1">
      <c r="A297" s="2121"/>
      <c r="B297" s="2332"/>
      <c r="C297" s="2227" t="s">
        <v>2412</v>
      </c>
      <c r="D297" s="2255"/>
      <c r="E297" s="2255"/>
      <c r="I297" s="2254" t="s">
        <v>6235</v>
      </c>
      <c r="J297" s="3899">
        <f>'Part V-Revenues &amp; Expenses'!$P$67</f>
        <v>44</v>
      </c>
      <c r="K297" s="3900"/>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6236</v>
      </c>
      <c r="J298" s="3913">
        <f>IF(J297=0,0,J295/J297)</f>
        <v>20000</v>
      </c>
      <c r="K298" s="3914"/>
      <c r="M298" s="3915">
        <f>IF(J297=0,0,M295/J297)</f>
        <v>0</v>
      </c>
      <c r="N298" s="3916"/>
      <c r="O298" s="3916"/>
      <c r="P298" s="3917"/>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9">
        <f>IF(J295&gt;=$Y$298,$Y$300,IF(J295&gt;=$W$298,$W$300,IF(J295&gt;=$U$298,$U$300,0)))</f>
        <v>1</v>
      </c>
      <c r="K299" s="3900"/>
      <c r="M299" s="3899">
        <f t="shared" ref="M299" si="0">IF(M295&gt;=$Y$298,$Y$300,IF(M295&gt;=$W$298,$W$300,IF(M295&gt;=$U$298,$U$300,0)))</f>
        <v>0</v>
      </c>
      <c r="N299" s="3901"/>
      <c r="O299" s="3901">
        <f t="shared" ref="O299" si="1">IF(O295&gt;=$Y$298,$Y$300,IF(O295&gt;=$W$298,$W$300,IF(O295&gt;=$U$298,$U$300,0)))</f>
        <v>0</v>
      </c>
      <c r="P299" s="3900"/>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6237</v>
      </c>
      <c r="J300" s="3904">
        <f>IF(J298&gt;=$Y$299,$Y$300,IF(J298&gt;=$W$299,$W$300,IF(J298&gt;=$U$299,$U$300,0)))</f>
        <v>2</v>
      </c>
      <c r="K300" s="3905"/>
      <c r="L300" s="2136"/>
      <c r="M300" s="3904">
        <f>IF(M298&gt;=$Y$299,$Y$300,IF(M298&gt;=$W$299,$W$300,IF(M298&gt;=$U$299,$U$300,0)))</f>
        <v>0</v>
      </c>
      <c r="N300" s="3906"/>
      <c r="O300" s="3906"/>
      <c r="P300" s="3905"/>
      <c r="S300" s="2431" t="s">
        <v>6144</v>
      </c>
      <c r="U300" s="3860">
        <v>1</v>
      </c>
      <c r="V300" s="3861"/>
      <c r="W300" s="3860">
        <v>2</v>
      </c>
      <c r="X300" s="3861"/>
      <c r="Y300" s="3860">
        <v>3</v>
      </c>
      <c r="Z300" s="3861"/>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8" t="s">
        <v>6867</v>
      </c>
      <c r="D303" s="3878"/>
      <c r="E303" s="3878"/>
      <c r="F303" s="3878"/>
      <c r="G303" s="3878"/>
      <c r="H303" s="3878"/>
      <c r="I303" s="3878"/>
      <c r="J303" s="3878"/>
      <c r="K303" s="3878"/>
      <c r="L303" s="3878"/>
      <c r="M303" s="3878"/>
      <c r="N303" s="2413"/>
      <c r="O303" s="2382" t="s">
        <v>7049</v>
      </c>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t="s">
        <v>7049</v>
      </c>
      <c r="P304" s="2270"/>
      <c r="V304" s="2355"/>
    </row>
    <row r="305" spans="1:19" ht="15.95" customHeight="1">
      <c r="B305" s="2313"/>
      <c r="C305" s="2120" t="s">
        <v>6869</v>
      </c>
      <c r="N305" s="2144"/>
      <c r="O305" s="2246" t="s">
        <v>7049</v>
      </c>
      <c r="P305" s="2247"/>
    </row>
    <row r="306" spans="1:19" ht="15.95" customHeight="1" thickBot="1">
      <c r="B306" s="2260" t="s">
        <v>3240</v>
      </c>
    </row>
    <row r="307" spans="1:19" ht="51.6" customHeight="1" thickTop="1" thickBot="1">
      <c r="A307" s="3869" t="s">
        <v>7103</v>
      </c>
      <c r="B307" s="3870"/>
      <c r="C307" s="3870"/>
      <c r="D307" s="3870"/>
      <c r="E307" s="3870"/>
      <c r="F307" s="3870"/>
      <c r="G307" s="3870"/>
      <c r="H307" s="3870"/>
      <c r="I307" s="3870"/>
      <c r="J307" s="3870"/>
      <c r="K307" s="3870"/>
      <c r="L307" s="3870"/>
      <c r="M307" s="3870"/>
      <c r="N307" s="3870"/>
      <c r="O307" s="3870"/>
      <c r="P307" s="3871"/>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2"/>
      <c r="B309" s="3873"/>
      <c r="C309" s="3873"/>
      <c r="D309" s="3873"/>
      <c r="E309" s="3873"/>
      <c r="F309" s="3873"/>
      <c r="G309" s="3873"/>
      <c r="H309" s="3873"/>
      <c r="I309" s="3873"/>
      <c r="J309" s="3873"/>
      <c r="K309" s="3873"/>
      <c r="L309" s="3873"/>
      <c r="M309" s="3873"/>
      <c r="N309" s="3873"/>
      <c r="O309" s="3873"/>
      <c r="P309" s="3874"/>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5" t="s">
        <v>3885</v>
      </c>
      <c r="H313" s="3876"/>
      <c r="I313" s="3876"/>
      <c r="J313" s="3876"/>
      <c r="K313" s="3876"/>
      <c r="L313" s="3877"/>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3" t="s">
        <v>3414</v>
      </c>
      <c r="C315" s="3894"/>
      <c r="D315" s="3894"/>
      <c r="E315" s="3894"/>
      <c r="F315" s="3894"/>
      <c r="G315" s="3894"/>
      <c r="H315" s="3894"/>
      <c r="I315" s="3894"/>
      <c r="J315" s="3894"/>
      <c r="K315" s="3894"/>
      <c r="L315" s="3894"/>
      <c r="M315" s="3894"/>
      <c r="N315" s="3894"/>
      <c r="O315" s="3894"/>
      <c r="P315" s="3895"/>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9" t="s">
        <v>7087</v>
      </c>
      <c r="B318" s="3870"/>
      <c r="C318" s="3870"/>
      <c r="D318" s="3870"/>
      <c r="E318" s="3870"/>
      <c r="F318" s="3870"/>
      <c r="G318" s="3870"/>
      <c r="H318" s="3870"/>
      <c r="I318" s="3870"/>
      <c r="J318" s="3870"/>
      <c r="K318" s="3870"/>
      <c r="L318" s="3870"/>
      <c r="M318" s="3870"/>
      <c r="N318" s="3870"/>
      <c r="O318" s="3870"/>
      <c r="P318" s="3871"/>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2"/>
      <c r="B320" s="3873"/>
      <c r="C320" s="3873"/>
      <c r="D320" s="3873"/>
      <c r="E320" s="3873"/>
      <c r="F320" s="3873"/>
      <c r="G320" s="3873"/>
      <c r="H320" s="3873"/>
      <c r="I320" s="3873"/>
      <c r="J320" s="3873"/>
      <c r="K320" s="3873"/>
      <c r="L320" s="3873"/>
      <c r="M320" s="3873"/>
      <c r="N320" s="3873"/>
      <c r="O320" s="3873"/>
      <c r="P320" s="3874"/>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6939</v>
      </c>
      <c r="D326" s="2143"/>
      <c r="E326" s="2143"/>
      <c r="L326" s="2232"/>
      <c r="M326" s="2124"/>
      <c r="N326" s="2123"/>
      <c r="O326" s="2387"/>
      <c r="P326" s="2354"/>
      <c r="Q326" s="2203"/>
    </row>
    <row r="327" spans="1:18" s="2121" customFormat="1" ht="15.95" customHeight="1">
      <c r="A327" s="2124" t="s">
        <v>1843</v>
      </c>
      <c r="B327" s="2131" t="s">
        <v>6940</v>
      </c>
      <c r="D327" s="2143"/>
      <c r="E327" s="2143"/>
      <c r="L327" s="2232"/>
      <c r="M327" s="2124"/>
      <c r="N327" s="2123"/>
      <c r="O327" s="2388">
        <v>3</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2"/>
      <c r="B329" s="3873"/>
      <c r="C329" s="3873"/>
      <c r="D329" s="3873"/>
      <c r="E329" s="3873"/>
      <c r="F329" s="3873"/>
      <c r="G329" s="3873"/>
      <c r="H329" s="3873"/>
      <c r="I329" s="3873"/>
      <c r="J329" s="3873"/>
      <c r="K329" s="3873"/>
      <c r="L329" s="3873"/>
      <c r="M329" s="3873"/>
      <c r="N329" s="3873"/>
      <c r="O329" s="3873"/>
      <c r="P329" s="3874"/>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v>0</v>
      </c>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73.45" customHeight="1" thickTop="1" thickBot="1">
      <c r="A340" s="3869" t="s">
        <v>7093</v>
      </c>
      <c r="B340" s="3870"/>
      <c r="C340" s="3870"/>
      <c r="D340" s="3870"/>
      <c r="E340" s="3870"/>
      <c r="F340" s="3870"/>
      <c r="G340" s="3870"/>
      <c r="H340" s="3870"/>
      <c r="I340" s="3870"/>
      <c r="J340" s="3870"/>
      <c r="K340" s="3870"/>
      <c r="L340" s="3870"/>
      <c r="M340" s="3870"/>
      <c r="N340" s="3870"/>
      <c r="O340" s="3870"/>
      <c r="P340" s="3871"/>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2"/>
      <c r="B342" s="3873"/>
      <c r="C342" s="3873"/>
      <c r="D342" s="3873"/>
      <c r="E342" s="3873"/>
      <c r="F342" s="3873"/>
      <c r="G342" s="3873"/>
      <c r="H342" s="3873"/>
      <c r="I342" s="3873"/>
      <c r="J342" s="3873"/>
      <c r="K342" s="3873"/>
      <c r="L342" s="3873"/>
      <c r="M342" s="3873"/>
      <c r="N342" s="3873"/>
      <c r="O342" s="3873"/>
      <c r="P342" s="3874"/>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9" t="s">
        <v>7087</v>
      </c>
      <c r="B347" s="3870"/>
      <c r="C347" s="3870"/>
      <c r="D347" s="3870"/>
      <c r="E347" s="3870"/>
      <c r="F347" s="3870"/>
      <c r="G347" s="3870"/>
      <c r="H347" s="3870"/>
      <c r="I347" s="3870"/>
      <c r="J347" s="3870"/>
      <c r="K347" s="3870"/>
      <c r="L347" s="3870"/>
      <c r="M347" s="3870"/>
      <c r="N347" s="3870"/>
      <c r="O347" s="3870"/>
      <c r="P347" s="3871"/>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2"/>
      <c r="B349" s="3873"/>
      <c r="C349" s="3873"/>
      <c r="D349" s="3873"/>
      <c r="E349" s="3873"/>
      <c r="F349" s="3873"/>
      <c r="G349" s="3873"/>
      <c r="H349" s="3873"/>
      <c r="I349" s="3873"/>
      <c r="J349" s="3873"/>
      <c r="K349" s="3873"/>
      <c r="L349" s="3873"/>
      <c r="M349" s="3873"/>
      <c r="N349" s="3873"/>
      <c r="O349" s="3873"/>
      <c r="P349" s="3874"/>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2"/>
      <c r="B355" s="3873"/>
      <c r="C355" s="3873"/>
      <c r="D355" s="3873"/>
      <c r="E355" s="3873"/>
      <c r="F355" s="3873"/>
      <c r="G355" s="3873"/>
      <c r="H355" s="3873"/>
      <c r="I355" s="3873"/>
      <c r="J355" s="3873"/>
      <c r="K355" s="3873"/>
      <c r="L355" s="3873"/>
      <c r="M355" s="3873"/>
      <c r="N355" s="3873"/>
      <c r="O355" s="3873"/>
      <c r="P355" s="3874"/>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9" t="s">
        <v>7087</v>
      </c>
      <c r="B360" s="3870"/>
      <c r="C360" s="3870"/>
      <c r="D360" s="3870"/>
      <c r="E360" s="3870"/>
      <c r="F360" s="3870"/>
      <c r="G360" s="3870"/>
      <c r="H360" s="3870"/>
      <c r="I360" s="3870"/>
      <c r="J360" s="3870"/>
      <c r="K360" s="3870"/>
      <c r="L360" s="3870"/>
      <c r="M360" s="3870"/>
      <c r="N360" s="3870"/>
      <c r="O360" s="3870"/>
      <c r="P360" s="3871"/>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2"/>
      <c r="B362" s="3873"/>
      <c r="C362" s="3873"/>
      <c r="D362" s="3873"/>
      <c r="E362" s="3873"/>
      <c r="F362" s="3873"/>
      <c r="G362" s="3873"/>
      <c r="H362" s="3873"/>
      <c r="I362" s="3873"/>
      <c r="J362" s="3873"/>
      <c r="K362" s="3873"/>
      <c r="L362" s="3873"/>
      <c r="M362" s="3873"/>
      <c r="N362" s="3873"/>
      <c r="O362" s="3873"/>
      <c r="P362" s="3874"/>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9" t="s">
        <v>7087</v>
      </c>
      <c r="B369" s="3870"/>
      <c r="C369" s="3870"/>
      <c r="D369" s="3870"/>
      <c r="E369" s="3870"/>
      <c r="F369" s="3870"/>
      <c r="G369" s="3870"/>
      <c r="H369" s="3870"/>
      <c r="I369" s="3870"/>
      <c r="J369" s="3870"/>
      <c r="K369" s="3870"/>
      <c r="L369" s="3870"/>
      <c r="M369" s="3870"/>
      <c r="N369" s="3870"/>
      <c r="O369" s="3870"/>
      <c r="P369" s="3871"/>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2"/>
      <c r="B371" s="3873"/>
      <c r="C371" s="3873"/>
      <c r="D371" s="3873"/>
      <c r="E371" s="3873"/>
      <c r="F371" s="3873"/>
      <c r="G371" s="3873"/>
      <c r="H371" s="3873"/>
      <c r="I371" s="3873"/>
      <c r="J371" s="3873"/>
      <c r="K371" s="3873"/>
      <c r="L371" s="3873"/>
      <c r="M371" s="3873"/>
      <c r="N371" s="3873"/>
      <c r="O371" s="3873"/>
      <c r="P371" s="3874"/>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6930</v>
      </c>
      <c r="E376" s="2121"/>
      <c r="F376" s="2121"/>
      <c r="G376" s="2121" t="s">
        <v>6222</v>
      </c>
      <c r="H376" s="2121"/>
      <c r="I376" s="2121"/>
      <c r="J376" s="2121" t="s">
        <v>575</v>
      </c>
      <c r="L376" s="2139" t="s">
        <v>6931</v>
      </c>
      <c r="M376" s="3850" t="s">
        <v>6941</v>
      </c>
      <c r="N376" s="3850"/>
      <c r="O376" s="3850"/>
      <c r="P376" s="3850"/>
      <c r="Q376" s="2320"/>
    </row>
    <row r="377" spans="1:18" ht="15.95" customHeight="1">
      <c r="A377" s="2121">
        <v>1</v>
      </c>
      <c r="B377" s="3918"/>
      <c r="C377" s="3918"/>
      <c r="D377" s="3918"/>
      <c r="E377" s="3918"/>
      <c r="F377" s="3918"/>
      <c r="G377" s="3918"/>
      <c r="H377" s="3918"/>
      <c r="I377" s="3918"/>
      <c r="J377" s="3918"/>
      <c r="K377" s="3918"/>
      <c r="L377" s="2451"/>
      <c r="M377" s="3847"/>
      <c r="N377" s="3848"/>
      <c r="O377" s="3848"/>
      <c r="P377" s="3849"/>
      <c r="Q377" s="2320"/>
    </row>
    <row r="378" spans="1:18" ht="15.95" customHeight="1">
      <c r="A378" s="2121">
        <v>2</v>
      </c>
      <c r="B378" s="3884"/>
      <c r="C378" s="3884"/>
      <c r="D378" s="3884"/>
      <c r="E378" s="3884"/>
      <c r="F378" s="3884"/>
      <c r="G378" s="3884"/>
      <c r="H378" s="3884"/>
      <c r="I378" s="3884"/>
      <c r="J378" s="3884"/>
      <c r="K378" s="3884"/>
      <c r="L378" s="2452"/>
      <c r="M378" s="3851"/>
      <c r="N378" s="3852"/>
      <c r="O378" s="3852"/>
      <c r="P378" s="3853"/>
      <c r="Q378" s="2320"/>
    </row>
    <row r="379" spans="1:18" ht="15.95" customHeight="1">
      <c r="A379" s="2121">
        <v>3</v>
      </c>
      <c r="B379" s="3884"/>
      <c r="C379" s="3884"/>
      <c r="D379" s="3884"/>
      <c r="E379" s="3884"/>
      <c r="F379" s="3884"/>
      <c r="G379" s="3884"/>
      <c r="H379" s="3884"/>
      <c r="I379" s="3884"/>
      <c r="J379" s="3884"/>
      <c r="K379" s="3884"/>
      <c r="L379" s="2452"/>
      <c r="M379" s="3851"/>
      <c r="N379" s="3852"/>
      <c r="O379" s="3852"/>
      <c r="P379" s="3853"/>
      <c r="Q379" s="2320"/>
    </row>
    <row r="380" spans="1:18" ht="15.95" customHeight="1">
      <c r="A380" s="2121">
        <v>4</v>
      </c>
      <c r="B380" s="3884"/>
      <c r="C380" s="3884"/>
      <c r="D380" s="3884"/>
      <c r="E380" s="3884"/>
      <c r="F380" s="3884"/>
      <c r="G380" s="3884"/>
      <c r="H380" s="3884"/>
      <c r="I380" s="3884"/>
      <c r="J380" s="3884"/>
      <c r="K380" s="3884"/>
      <c r="L380" s="2452"/>
      <c r="M380" s="3851"/>
      <c r="N380" s="3852"/>
      <c r="O380" s="3852"/>
      <c r="P380" s="3853"/>
      <c r="Q380" s="2320"/>
    </row>
    <row r="381" spans="1:18" ht="15.95" customHeight="1">
      <c r="A381" s="2121">
        <v>5</v>
      </c>
      <c r="B381" s="3884"/>
      <c r="C381" s="3884"/>
      <c r="D381" s="3884"/>
      <c r="E381" s="3884"/>
      <c r="F381" s="3884"/>
      <c r="G381" s="3884"/>
      <c r="H381" s="3884"/>
      <c r="I381" s="3884"/>
      <c r="J381" s="3884"/>
      <c r="K381" s="3884"/>
      <c r="L381" s="2452"/>
      <c r="M381" s="3851"/>
      <c r="N381" s="3852"/>
      <c r="O381" s="3852"/>
      <c r="P381" s="3853"/>
      <c r="Q381" s="2320"/>
    </row>
    <row r="382" spans="1:18" ht="15.95" customHeight="1">
      <c r="A382" s="2121">
        <v>6</v>
      </c>
      <c r="B382" s="3884"/>
      <c r="C382" s="3884"/>
      <c r="D382" s="3884"/>
      <c r="E382" s="3884"/>
      <c r="F382" s="3884"/>
      <c r="G382" s="3884"/>
      <c r="H382" s="3884"/>
      <c r="I382" s="3884"/>
      <c r="J382" s="3884"/>
      <c r="K382" s="3884"/>
      <c r="L382" s="2452"/>
      <c r="M382" s="3851"/>
      <c r="N382" s="3852"/>
      <c r="O382" s="3852"/>
      <c r="P382" s="3853"/>
      <c r="Q382" s="2320"/>
    </row>
    <row r="383" spans="1:18" ht="15.95" customHeight="1">
      <c r="A383" s="2121">
        <v>7</v>
      </c>
      <c r="B383" s="3884"/>
      <c r="C383" s="3884"/>
      <c r="D383" s="3884"/>
      <c r="E383" s="3884"/>
      <c r="F383" s="3884"/>
      <c r="G383" s="3884"/>
      <c r="H383" s="3884"/>
      <c r="I383" s="3884"/>
      <c r="J383" s="3884"/>
      <c r="K383" s="3884"/>
      <c r="L383" s="2452"/>
      <c r="M383" s="3851"/>
      <c r="N383" s="3852"/>
      <c r="O383" s="3852"/>
      <c r="P383" s="3853"/>
      <c r="Q383" s="2320"/>
    </row>
    <row r="384" spans="1:18" ht="15.95" customHeight="1">
      <c r="A384" s="2121">
        <v>8</v>
      </c>
      <c r="B384" s="3884"/>
      <c r="C384" s="3884"/>
      <c r="D384" s="3884"/>
      <c r="E384" s="3884"/>
      <c r="F384" s="3884"/>
      <c r="G384" s="3884"/>
      <c r="H384" s="3884"/>
      <c r="I384" s="3884"/>
      <c r="J384" s="3884"/>
      <c r="K384" s="3884"/>
      <c r="L384" s="2452"/>
      <c r="M384" s="3851"/>
      <c r="N384" s="3852"/>
      <c r="O384" s="3852"/>
      <c r="P384" s="3853"/>
      <c r="Q384" s="2320"/>
    </row>
    <row r="385" spans="1:19" ht="14.25">
      <c r="A385" s="2120">
        <v>9</v>
      </c>
      <c r="B385" s="3884"/>
      <c r="C385" s="3884"/>
      <c r="D385" s="3884"/>
      <c r="E385" s="3884"/>
      <c r="F385" s="3884"/>
      <c r="G385" s="3884"/>
      <c r="H385" s="3884"/>
      <c r="I385" s="3884"/>
      <c r="J385" s="3884"/>
      <c r="K385" s="3884"/>
      <c r="L385" s="2452"/>
      <c r="M385" s="3851"/>
      <c r="N385" s="3852"/>
      <c r="O385" s="3852"/>
      <c r="P385" s="3853"/>
    </row>
    <row r="386" spans="1:19" ht="15.95" customHeight="1">
      <c r="A386" s="2121">
        <v>10</v>
      </c>
      <c r="B386" s="4102"/>
      <c r="C386" s="4102"/>
      <c r="D386" s="4102"/>
      <c r="E386" s="4102"/>
      <c r="F386" s="4102"/>
      <c r="G386" s="4102"/>
      <c r="H386" s="4102"/>
      <c r="I386" s="4102"/>
      <c r="J386" s="4102"/>
      <c r="K386" s="4102"/>
      <c r="L386" s="2453"/>
      <c r="M386" s="3896"/>
      <c r="N386" s="3897"/>
      <c r="O386" s="3897"/>
      <c r="P386" s="3898"/>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9" t="s">
        <v>7087</v>
      </c>
      <c r="B389" s="3870"/>
      <c r="C389" s="3870"/>
      <c r="D389" s="3870"/>
      <c r="E389" s="3870"/>
      <c r="F389" s="3870"/>
      <c r="G389" s="3870"/>
      <c r="H389" s="3870"/>
      <c r="I389" s="3870"/>
      <c r="J389" s="3870"/>
      <c r="K389" s="3870"/>
      <c r="L389" s="3870"/>
      <c r="M389" s="3870"/>
      <c r="N389" s="3870"/>
      <c r="O389" s="3870"/>
      <c r="P389" s="3871"/>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2"/>
      <c r="B391" s="3873"/>
      <c r="C391" s="3873"/>
      <c r="D391" s="3873"/>
      <c r="E391" s="3873"/>
      <c r="F391" s="3873"/>
      <c r="G391" s="3873"/>
      <c r="H391" s="3873"/>
      <c r="I391" s="3873"/>
      <c r="J391" s="3873"/>
      <c r="K391" s="3873"/>
      <c r="L391" s="3873"/>
      <c r="M391" s="3873"/>
      <c r="N391" s="3873"/>
      <c r="O391" s="3873"/>
      <c r="P391" s="3874"/>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3893" t="s">
        <v>7094</v>
      </c>
      <c r="C396" s="3894"/>
      <c r="D396" s="3894"/>
      <c r="E396" s="3894"/>
      <c r="F396" s="3894"/>
      <c r="G396" s="3894"/>
      <c r="H396" s="3894"/>
      <c r="I396" s="3894"/>
      <c r="J396" s="3894"/>
      <c r="K396" s="3894"/>
      <c r="L396" s="3894"/>
      <c r="M396" s="3894"/>
      <c r="N396" s="3894"/>
      <c r="O396" s="3894"/>
      <c r="P396" s="3895"/>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3893" t="s">
        <v>7095</v>
      </c>
      <c r="C398" s="3894"/>
      <c r="D398" s="3894"/>
      <c r="E398" s="3894"/>
      <c r="F398" s="3894"/>
      <c r="G398" s="3894"/>
      <c r="H398" s="3894"/>
      <c r="I398" s="3894"/>
      <c r="J398" s="3894"/>
      <c r="K398" s="3894"/>
      <c r="L398" s="3894"/>
      <c r="M398" s="3894"/>
      <c r="N398" s="3894"/>
      <c r="O398" s="3894"/>
      <c r="P398" s="3895"/>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9" t="s">
        <v>7112</v>
      </c>
      <c r="B400" s="3870"/>
      <c r="C400" s="3870"/>
      <c r="D400" s="3870"/>
      <c r="E400" s="3870"/>
      <c r="F400" s="3870"/>
      <c r="G400" s="3870"/>
      <c r="H400" s="3870"/>
      <c r="I400" s="3870"/>
      <c r="J400" s="3870"/>
      <c r="K400" s="3870"/>
      <c r="L400" s="3870"/>
      <c r="M400" s="3870"/>
      <c r="N400" s="3870"/>
      <c r="O400" s="3870"/>
      <c r="P400" s="3871"/>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2"/>
      <c r="B402" s="3873"/>
      <c r="C402" s="3873"/>
      <c r="D402" s="3873"/>
      <c r="E402" s="3873"/>
      <c r="F402" s="3873"/>
      <c r="G402" s="3873"/>
      <c r="H402" s="3873"/>
      <c r="I402" s="3873"/>
      <c r="J402" s="3873"/>
      <c r="K402" s="3873"/>
      <c r="L402" s="3873"/>
      <c r="M402" s="3873"/>
      <c r="N402" s="3873"/>
      <c r="O402" s="3873"/>
      <c r="P402" s="3874"/>
      <c r="Q402" s="2252"/>
    </row>
    <row r="403" spans="1:66" ht="15.95" customHeight="1" thickBot="1">
      <c r="Q403" s="3902" t="s">
        <v>6947</v>
      </c>
      <c r="R403" s="3902"/>
      <c r="S403" s="3902"/>
      <c r="T403" s="3902"/>
      <c r="U403" s="3902"/>
      <c r="V403" s="3902"/>
      <c r="W403" s="3902"/>
      <c r="X403" s="3902"/>
      <c r="Y403" s="3902"/>
      <c r="Z403" s="3902"/>
      <c r="AA403" s="3902"/>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75</v>
      </c>
      <c r="P404" s="2135">
        <f>IF(AND($O$36="4%",($D$36-$A$36)&gt;0),((-P10+P40+P66+P77+P86+P106+P122+P142+P152+P171+P179+P189+P200+P210+P223+P233+P253+P262+P271+P280+P312+P323+P332+P345+P352+P358+P365+P374)-($D$36-$A$36)),-P10+P40+P66+P77+P86+P106+P122+P142+P152+P171+P179+P189+P200+P210+P223+P233+P253+P262+P271+P280+P312+P323+P332+P345+P352+P358+P365+P374)</f>
        <v>22</v>
      </c>
      <c r="Q404" s="3902"/>
      <c r="R404" s="3902"/>
      <c r="S404" s="3902"/>
      <c r="T404" s="3902"/>
      <c r="U404" s="3902"/>
      <c r="V404" s="3902"/>
      <c r="W404" s="3902"/>
      <c r="X404" s="3902"/>
      <c r="Y404" s="3902"/>
      <c r="Z404" s="3902"/>
      <c r="AA404" s="3902"/>
    </row>
    <row r="405" spans="1:66" ht="7.5" customHeight="1" thickTop="1">
      <c r="A405" s="2121"/>
      <c r="C405" s="2161"/>
      <c r="D405" s="2161"/>
      <c r="E405" s="2161"/>
      <c r="F405" s="2161"/>
      <c r="G405" s="2161"/>
      <c r="H405" s="2161"/>
      <c r="I405" s="2161"/>
      <c r="J405" s="2161"/>
      <c r="K405" s="2161"/>
      <c r="L405" s="2161"/>
      <c r="M405" s="2161"/>
      <c r="N405" s="2161"/>
      <c r="O405" s="2161"/>
      <c r="P405" s="2161"/>
      <c r="Q405" s="3902"/>
      <c r="R405" s="3902"/>
      <c r="S405" s="3902"/>
      <c r="T405" s="3902"/>
      <c r="U405" s="3902"/>
      <c r="V405" s="3902"/>
      <c r="W405" s="3902"/>
      <c r="X405" s="3902"/>
      <c r="Y405" s="3902"/>
      <c r="Z405" s="3902"/>
      <c r="AA405" s="3902"/>
    </row>
    <row r="406" spans="1:66" ht="7.5" customHeight="1">
      <c r="F406" s="2226"/>
      <c r="G406" s="2226"/>
      <c r="H406" s="2124"/>
      <c r="I406" s="2124"/>
      <c r="N406" s="2124"/>
      <c r="O406" s="2124"/>
      <c r="P406" s="2133"/>
      <c r="Q406" s="3902"/>
      <c r="R406" s="3902"/>
      <c r="S406" s="3902"/>
      <c r="T406" s="3902"/>
      <c r="U406" s="3902"/>
      <c r="V406" s="3902"/>
      <c r="W406" s="3902"/>
      <c r="X406" s="3902"/>
      <c r="Y406" s="3902"/>
      <c r="Z406" s="3902"/>
      <c r="AA406" s="3902"/>
    </row>
    <row r="407" spans="1:66" ht="45.6" customHeight="1">
      <c r="A407" s="3903" t="s">
        <v>6871</v>
      </c>
      <c r="B407" s="3903"/>
      <c r="C407" s="3903"/>
      <c r="D407" s="3903"/>
      <c r="E407" s="3903"/>
      <c r="F407" s="3903"/>
      <c r="G407" s="3903"/>
      <c r="H407" s="3903"/>
      <c r="I407" s="3903"/>
      <c r="J407" s="3903"/>
      <c r="K407" s="3903"/>
      <c r="L407" s="3903"/>
      <c r="M407" s="3903"/>
      <c r="N407" s="3903"/>
      <c r="O407" s="3903"/>
      <c r="P407" s="3903"/>
      <c r="Q407" s="3902"/>
      <c r="R407" s="3902"/>
      <c r="S407" s="3902"/>
      <c r="T407" s="3902"/>
      <c r="U407" s="3902"/>
      <c r="V407" s="3902"/>
      <c r="W407" s="3902"/>
      <c r="X407" s="3902"/>
      <c r="Y407" s="3902"/>
      <c r="Z407" s="3902"/>
      <c r="AA407" s="3902"/>
    </row>
    <row r="408" spans="1:66" ht="409.15" customHeight="1">
      <c r="A408" s="3893" t="s">
        <v>7096</v>
      </c>
      <c r="B408" s="3894"/>
      <c r="C408" s="3894"/>
      <c r="D408" s="3894"/>
      <c r="E408" s="3894"/>
      <c r="F408" s="3894"/>
      <c r="G408" s="3894"/>
      <c r="H408" s="3894"/>
      <c r="I408" s="3894"/>
      <c r="J408" s="3894"/>
      <c r="K408" s="3894"/>
      <c r="L408" s="3894"/>
      <c r="M408" s="3894"/>
      <c r="N408" s="3894"/>
      <c r="O408" s="3894"/>
      <c r="P408" s="3895"/>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2" t="s">
        <v>6562</v>
      </c>
      <c r="BC415" s="3892"/>
      <c r="BD415" s="3892"/>
      <c r="BE415" s="3892"/>
      <c r="BF415" s="3892"/>
      <c r="BG415" s="3892"/>
      <c r="BH415" s="3892"/>
      <c r="BI415" s="3892"/>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8" t="s">
        <v>6563</v>
      </c>
      <c r="AZ416" s="3889"/>
      <c r="BA416" s="3889"/>
      <c r="BB416" s="3889"/>
      <c r="BC416" s="3889"/>
      <c r="BD416" s="3889"/>
      <c r="BE416" s="3890"/>
      <c r="BF416" s="3888" t="s">
        <v>6564</v>
      </c>
      <c r="BG416" s="3889"/>
      <c r="BH416" s="3889"/>
      <c r="BI416" s="3889"/>
      <c r="BJ416" s="3889"/>
      <c r="BK416" s="3889"/>
      <c r="BL416" s="3890"/>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1" t="s">
        <v>6124</v>
      </c>
      <c r="AH418" s="4042"/>
      <c r="AI418" s="3885" t="s">
        <v>6505</v>
      </c>
      <c r="AJ418" s="3886"/>
      <c r="AK418" s="3886"/>
      <c r="AL418" s="3886"/>
      <c r="AM418" s="3887"/>
      <c r="AN418" s="4043" t="s">
        <v>6137</v>
      </c>
      <c r="AO418" s="4043"/>
      <c r="AP418" s="4043"/>
      <c r="AQ418" s="4043"/>
      <c r="AR418" s="2397"/>
      <c r="AS418" s="2466"/>
      <c r="AT418" s="2465" t="s">
        <v>6136</v>
      </c>
      <c r="AU418" s="2466"/>
      <c r="AV418" s="2466"/>
      <c r="AW418" s="2466"/>
      <c r="AX418" s="2397"/>
      <c r="AY418" s="3885" t="s">
        <v>6124</v>
      </c>
      <c r="AZ418" s="3887"/>
      <c r="BA418" s="3885" t="s">
        <v>6505</v>
      </c>
      <c r="BB418" s="3886"/>
      <c r="BC418" s="3886"/>
      <c r="BD418" s="3886"/>
      <c r="BE418" s="3887"/>
      <c r="BF418" s="3891" t="s">
        <v>6124</v>
      </c>
      <c r="BG418" s="3891"/>
      <c r="BH418" s="3891" t="s">
        <v>6505</v>
      </c>
      <c r="BI418" s="3891"/>
      <c r="BJ418" s="3891"/>
      <c r="BK418" s="3891"/>
      <c r="BL418" s="3891"/>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6545</v>
      </c>
      <c r="AL419" s="2467" t="s">
        <v>6546</v>
      </c>
      <c r="AM419" s="2467" t="s">
        <v>6547</v>
      </c>
      <c r="AN419" s="3885" t="str">
        <f>'Part I-Project Identification'!F12</f>
        <v>9% Credit Competitive Round only</v>
      </c>
      <c r="AO419" s="3886"/>
      <c r="AP419" s="3886"/>
      <c r="AQ419" s="3887"/>
      <c r="AR419" s="2397"/>
      <c r="AS419" s="2397"/>
      <c r="AT419" s="2199"/>
      <c r="AU419" s="2397"/>
      <c r="AV419" s="2397"/>
      <c r="AW419" s="2397"/>
      <c r="AX419" s="2397"/>
      <c r="AY419" s="2467">
        <v>0.09</v>
      </c>
      <c r="AZ419" s="2467" t="s">
        <v>6943</v>
      </c>
      <c r="BA419" s="2467" t="s">
        <v>6943</v>
      </c>
      <c r="BB419" s="2467" t="s">
        <v>6927</v>
      </c>
      <c r="BC419" s="2467" t="s">
        <v>6545</v>
      </c>
      <c r="BD419" s="2467" t="s">
        <v>6546</v>
      </c>
      <c r="BE419" s="2467" t="s">
        <v>6547</v>
      </c>
      <c r="BF419" s="2467">
        <v>0.09</v>
      </c>
      <c r="BG419" s="2467" t="s">
        <v>6943</v>
      </c>
      <c r="BH419" s="2467" t="s">
        <v>6943</v>
      </c>
      <c r="BI419" s="2467" t="s">
        <v>6927</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1" t="s">
        <v>6561</v>
      </c>
      <c r="AO425" s="4032"/>
      <c r="AP425" s="4032"/>
      <c r="AQ425" s="4032"/>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1"/>
      <c r="AO426" s="4032"/>
      <c r="AP426" s="4032"/>
      <c r="AQ426" s="4032"/>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9" t="s">
        <v>1407</v>
      </c>
      <c r="H428" s="3919"/>
      <c r="I428" s="3919"/>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2</v>
      </c>
      <c r="AZ439" s="2491">
        <f>O280</f>
        <v>2</v>
      </c>
      <c r="BA439" s="2487">
        <f>O280</f>
        <v>2</v>
      </c>
      <c r="BB439" s="2488">
        <f>O280</f>
        <v>2</v>
      </c>
      <c r="BC439" s="2488">
        <f>O280</f>
        <v>2</v>
      </c>
      <c r="BD439" s="2488">
        <f>O280</f>
        <v>2</v>
      </c>
      <c r="BE439" s="2489">
        <f>O280</f>
        <v>2</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75</v>
      </c>
      <c r="AZ449" s="2542">
        <f>IF(AND($O$36="4%",($C$36-$A$36)&gt;0),(SUM(AZ420:AZ447)-($C$36-$A$36)),SUM(AZ420:AZ447))</f>
        <v>65</v>
      </c>
      <c r="BA449" s="2542">
        <f t="shared" ref="BA449:BB449" si="3">IF(AND($O$36="4%",($C$36-$A$36)&gt;0),(SUM(BA420:BA447)-($C$36-$A$36)),SUM(BA420:BA447))</f>
        <v>31</v>
      </c>
      <c r="BB449" s="2542">
        <f t="shared" si="3"/>
        <v>31</v>
      </c>
      <c r="BC449" s="2542">
        <f t="shared" ref="BC449:BL449" si="4">SUM(BC420:BC447)</f>
        <v>35</v>
      </c>
      <c r="BD449" s="2542">
        <f t="shared" si="4"/>
        <v>35</v>
      </c>
      <c r="BE449" s="2542">
        <f t="shared" si="4"/>
        <v>35</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6926</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3191</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8"/>
      <c r="B35" s="4108"/>
      <c r="C35" s="4108"/>
      <c r="D35" s="4108"/>
      <c r="E35" s="4108"/>
      <c r="F35" s="4108"/>
      <c r="G35" s="813"/>
      <c r="H35" s="4108"/>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ht="16.5">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2" t="s">
        <v>868</v>
      </c>
      <c r="I41" s="4112"/>
      <c r="J41" s="4112"/>
      <c r="K41" s="4112"/>
      <c r="L41" s="4112"/>
      <c r="M41" s="411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8" t="str">
        <f>'Part I-Project Identification'!F25</f>
        <v>Windsor Crossing</v>
      </c>
      <c r="E3" s="4169"/>
      <c r="F3" s="4169"/>
      <c r="G3" s="4169"/>
      <c r="H3" s="4169"/>
      <c r="I3" s="4169"/>
      <c r="J3" s="4170" t="s">
        <v>6170</v>
      </c>
      <c r="K3" s="4171"/>
    </row>
    <row r="4" spans="1:11" ht="15" customHeight="1">
      <c r="A4" s="1332" t="s">
        <v>3968</v>
      </c>
      <c r="B4" s="1333"/>
      <c r="C4" s="1334"/>
      <c r="D4" s="4172"/>
      <c r="E4" s="4173"/>
      <c r="F4" s="4173"/>
      <c r="G4" s="4173"/>
      <c r="H4" s="4173"/>
      <c r="I4" s="4173"/>
      <c r="J4" s="4174" t="s">
        <v>4009</v>
      </c>
      <c r="K4" s="4175"/>
    </row>
    <row r="5" spans="1:11" ht="15" customHeight="1" thickBot="1">
      <c r="A5" s="1335" t="s">
        <v>3969</v>
      </c>
      <c r="B5" s="1336"/>
      <c r="C5" s="1337"/>
      <c r="D5" s="4178"/>
      <c r="E5" s="4179"/>
      <c r="F5" s="4179"/>
      <c r="G5" s="4179"/>
      <c r="H5" s="4179"/>
      <c r="I5" s="4179"/>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567">
        <v>1</v>
      </c>
      <c r="D8" s="1352" t="s">
        <v>3972</v>
      </c>
      <c r="E8" s="1352"/>
      <c r="F8" s="1352"/>
      <c r="G8" s="1352"/>
      <c r="H8" s="1352"/>
      <c r="I8" s="1352"/>
      <c r="J8" s="4184"/>
      <c r="K8" s="4185"/>
    </row>
    <row r="9" spans="1:11" ht="7.1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567">
        <v>2</v>
      </c>
      <c r="D11" s="1352" t="s">
        <v>3974</v>
      </c>
      <c r="E11" s="1354"/>
      <c r="F11" s="1354"/>
      <c r="G11" s="1354"/>
      <c r="H11" s="1354"/>
      <c r="I11" s="1354"/>
      <c r="J11" s="4182"/>
      <c r="K11" s="4183"/>
    </row>
    <row r="12" spans="1:11" ht="7.1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568">
        <v>3</v>
      </c>
      <c r="D14" s="1356" t="s">
        <v>3976</v>
      </c>
      <c r="E14" s="1356"/>
      <c r="F14" s="1356"/>
      <c r="G14" s="1356"/>
      <c r="H14" s="1356"/>
      <c r="I14" s="1356"/>
      <c r="J14" s="4180"/>
      <c r="K14" s="4181"/>
    </row>
    <row r="15" spans="1:11" ht="14.25" customHeight="1">
      <c r="A15" s="1333"/>
      <c r="B15" s="1333"/>
      <c r="C15" s="1569">
        <v>4</v>
      </c>
      <c r="D15" s="1333" t="s">
        <v>3977</v>
      </c>
      <c r="E15" s="1333"/>
      <c r="F15" s="1333"/>
      <c r="G15" s="1333"/>
      <c r="H15" s="1333"/>
      <c r="I15" s="1333"/>
      <c r="J15" s="4121"/>
      <c r="K15" s="4122"/>
    </row>
    <row r="16" spans="1:11" ht="14.25" customHeight="1">
      <c r="A16" s="1333"/>
      <c r="B16" s="1333"/>
      <c r="C16" s="1569">
        <v>5</v>
      </c>
      <c r="D16" s="1333" t="s">
        <v>3978</v>
      </c>
      <c r="E16" s="1333"/>
      <c r="F16" s="1333"/>
      <c r="G16" s="1333"/>
      <c r="H16" s="1333"/>
      <c r="I16" s="1333"/>
      <c r="J16" s="4121"/>
      <c r="K16" s="4122"/>
    </row>
    <row r="17" spans="1:13" ht="14.25" customHeight="1">
      <c r="A17" s="1333"/>
      <c r="B17" s="1333"/>
      <c r="C17" s="1570">
        <v>6</v>
      </c>
      <c r="D17" s="1336" t="s">
        <v>3979</v>
      </c>
      <c r="E17" s="1336"/>
      <c r="F17" s="1336"/>
      <c r="G17" s="1336"/>
      <c r="H17" s="1336"/>
      <c r="I17" s="1336"/>
      <c r="J17" s="4119"/>
      <c r="K17" s="412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3980</v>
      </c>
      <c r="E19" s="1356"/>
      <c r="F19" s="1356"/>
      <c r="G19" s="1356"/>
      <c r="H19" s="1356"/>
      <c r="I19" s="1356"/>
      <c r="J19" s="4117" t="str">
        <f>IF(J17="No",J14-J15,IF(J17="Yes",J14-J15-J16,"Error"))</f>
        <v>Error</v>
      </c>
      <c r="K19" s="4118"/>
    </row>
    <row r="20" spans="1:13" ht="14.25" customHeight="1">
      <c r="A20" s="1333"/>
      <c r="B20" s="1333"/>
      <c r="C20" s="1570">
        <v>8</v>
      </c>
      <c r="D20" s="1336" t="s">
        <v>3981</v>
      </c>
      <c r="E20" s="1336"/>
      <c r="F20" s="1336"/>
      <c r="G20" s="1336"/>
      <c r="H20" s="1336"/>
      <c r="I20" s="1336"/>
      <c r="J20" s="4115" t="e">
        <f>ROUNDDOWN(J19/J8,2)</f>
        <v>#VALUE!</v>
      </c>
      <c r="K20" s="411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159" t="s">
        <v>6170</v>
      </c>
      <c r="C31" s="4159"/>
      <c r="D31" s="4159"/>
      <c r="E31" s="4159"/>
      <c r="F31" s="4159"/>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558"/>
      <c r="C33" s="1559"/>
      <c r="D33" s="1560"/>
      <c r="E33" s="4166"/>
      <c r="F33" s="416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561"/>
      <c r="C34" s="1562"/>
      <c r="D34" s="1563"/>
      <c r="E34" s="4147"/>
      <c r="F34" s="4148"/>
      <c r="G34" s="1391" t="e">
        <f t="shared" si="0"/>
        <v>#VALUE!</v>
      </c>
      <c r="H34" s="1392" t="e">
        <f t="shared" ref="H34:H51" si="3">ROUNDUP(G34,0)</f>
        <v>#VALUE!</v>
      </c>
      <c r="I34" s="1389"/>
      <c r="J34" s="1393" t="e">
        <f t="shared" si="1"/>
        <v>#VALUE!</v>
      </c>
      <c r="K34" s="1393" t="e">
        <f t="shared" si="2"/>
        <v>#VALUE!</v>
      </c>
      <c r="L34" s="4165"/>
      <c r="M34" s="4165"/>
    </row>
    <row r="35" spans="2:14" ht="12.75" customHeight="1">
      <c r="B35" s="1561"/>
      <c r="C35" s="1562"/>
      <c r="D35" s="1563"/>
      <c r="E35" s="4147"/>
      <c r="F35" s="4148"/>
      <c r="G35" s="1391" t="e">
        <f t="shared" si="0"/>
        <v>#VALUE!</v>
      </c>
      <c r="H35" s="1392" t="e">
        <f t="shared" si="3"/>
        <v>#VALUE!</v>
      </c>
      <c r="I35" s="1389"/>
      <c r="J35" s="1393" t="e">
        <f t="shared" si="1"/>
        <v>#VALUE!</v>
      </c>
      <c r="K35" s="1393" t="e">
        <f t="shared" si="2"/>
        <v>#VALUE!</v>
      </c>
      <c r="L35" s="4165"/>
      <c r="M35" s="4165"/>
    </row>
    <row r="36" spans="2:14" ht="12.75" customHeight="1">
      <c r="B36" s="1561"/>
      <c r="C36" s="1562"/>
      <c r="D36" s="1563"/>
      <c r="E36" s="4147"/>
      <c r="F36" s="4148"/>
      <c r="G36" s="1391" t="e">
        <f t="shared" si="0"/>
        <v>#VALUE!</v>
      </c>
      <c r="H36" s="1392" t="e">
        <f t="shared" si="3"/>
        <v>#VALUE!</v>
      </c>
      <c r="I36" s="1389"/>
      <c r="J36" s="1393" t="e">
        <f t="shared" si="1"/>
        <v>#VALUE!</v>
      </c>
      <c r="K36" s="1393" t="e">
        <f t="shared" si="2"/>
        <v>#VALUE!</v>
      </c>
      <c r="L36" s="4165"/>
      <c r="M36" s="4165"/>
      <c r="N36" s="1346"/>
    </row>
    <row r="37" spans="2:14" ht="12.75" customHeight="1">
      <c r="B37" s="1561"/>
      <c r="C37" s="1562"/>
      <c r="D37" s="1563"/>
      <c r="E37" s="4147"/>
      <c r="F37" s="4148"/>
      <c r="G37" s="1391" t="e">
        <f t="shared" si="0"/>
        <v>#VALUE!</v>
      </c>
      <c r="H37" s="1392" t="e">
        <f t="shared" si="3"/>
        <v>#VALUE!</v>
      </c>
      <c r="I37" s="1389"/>
      <c r="J37" s="1393" t="e">
        <f t="shared" si="1"/>
        <v>#VALUE!</v>
      </c>
      <c r="K37" s="1393" t="e">
        <f t="shared" si="2"/>
        <v>#VALUE!</v>
      </c>
      <c r="L37" s="4165"/>
      <c r="M37" s="4165"/>
    </row>
    <row r="38" spans="2:14" ht="12.75" customHeight="1">
      <c r="B38" s="1561"/>
      <c r="C38" s="1562"/>
      <c r="D38" s="1563"/>
      <c r="E38" s="4147"/>
      <c r="F38" s="4148"/>
      <c r="G38" s="1391" t="e">
        <f t="shared" si="0"/>
        <v>#VALUE!</v>
      </c>
      <c r="H38" s="1392" t="e">
        <f t="shared" si="3"/>
        <v>#VALUE!</v>
      </c>
      <c r="I38" s="1389"/>
      <c r="J38" s="1393" t="e">
        <f t="shared" si="1"/>
        <v>#VALUE!</v>
      </c>
      <c r="K38" s="1393" t="e">
        <f t="shared" si="2"/>
        <v>#VALUE!</v>
      </c>
      <c r="L38" s="4165"/>
      <c r="M38" s="4165"/>
    </row>
    <row r="39" spans="2:14" ht="12.75" customHeight="1">
      <c r="B39" s="1561"/>
      <c r="C39" s="1562"/>
      <c r="D39" s="1563"/>
      <c r="E39" s="4147"/>
      <c r="F39" s="4148"/>
      <c r="G39" s="1391" t="e">
        <f t="shared" si="0"/>
        <v>#VALUE!</v>
      </c>
      <c r="H39" s="1392" t="e">
        <f t="shared" si="3"/>
        <v>#VALUE!</v>
      </c>
      <c r="I39" s="1389"/>
      <c r="J39" s="1393" t="e">
        <f t="shared" si="1"/>
        <v>#VALUE!</v>
      </c>
      <c r="K39" s="1393" t="e">
        <f t="shared" si="2"/>
        <v>#VALUE!</v>
      </c>
      <c r="L39" s="4165"/>
      <c r="M39" s="4165"/>
    </row>
    <row r="40" spans="2:14" ht="12.75" customHeight="1">
      <c r="B40" s="1561"/>
      <c r="C40" s="1562"/>
      <c r="D40" s="1563"/>
      <c r="E40" s="4147"/>
      <c r="F40" s="4148"/>
      <c r="G40" s="1391" t="e">
        <f t="shared" si="0"/>
        <v>#VALUE!</v>
      </c>
      <c r="H40" s="1392" t="e">
        <f t="shared" si="3"/>
        <v>#VALUE!</v>
      </c>
      <c r="I40" s="1389"/>
      <c r="J40" s="1393" t="e">
        <f t="shared" si="1"/>
        <v>#VALUE!</v>
      </c>
      <c r="K40" s="1393" t="e">
        <f t="shared" si="2"/>
        <v>#VALUE!</v>
      </c>
      <c r="L40" s="4165"/>
      <c r="M40" s="4165"/>
    </row>
    <row r="41" spans="2:14" ht="12.75" customHeight="1">
      <c r="B41" s="1561"/>
      <c r="C41" s="1562"/>
      <c r="D41" s="1563"/>
      <c r="E41" s="4147"/>
      <c r="F41" s="4148"/>
      <c r="G41" s="1391" t="e">
        <f t="shared" si="0"/>
        <v>#VALUE!</v>
      </c>
      <c r="H41" s="1392" t="e">
        <f t="shared" si="3"/>
        <v>#VALUE!</v>
      </c>
      <c r="I41" s="1389"/>
      <c r="J41" s="1393" t="e">
        <f t="shared" si="1"/>
        <v>#VALUE!</v>
      </c>
      <c r="K41" s="1393" t="e">
        <f t="shared" si="2"/>
        <v>#VALUE!</v>
      </c>
      <c r="L41" s="4165"/>
      <c r="M41" s="4165"/>
    </row>
    <row r="42" spans="2:14" ht="12.75" customHeight="1">
      <c r="B42" s="1561"/>
      <c r="C42" s="1562"/>
      <c r="D42" s="1563"/>
      <c r="E42" s="4147"/>
      <c r="F42" s="4148"/>
      <c r="G42" s="1391" t="e">
        <f t="shared" si="0"/>
        <v>#VALUE!</v>
      </c>
      <c r="H42" s="1392" t="e">
        <f t="shared" si="3"/>
        <v>#VALUE!</v>
      </c>
      <c r="I42" s="1389"/>
      <c r="J42" s="1393" t="e">
        <f t="shared" si="1"/>
        <v>#VALUE!</v>
      </c>
      <c r="K42" s="1393" t="e">
        <f t="shared" si="2"/>
        <v>#VALUE!</v>
      </c>
      <c r="L42" s="4165"/>
      <c r="M42" s="4165"/>
    </row>
    <row r="43" spans="2:14" ht="12.75" customHeight="1">
      <c r="B43" s="1561"/>
      <c r="C43" s="1562"/>
      <c r="D43" s="1563"/>
      <c r="E43" s="4147"/>
      <c r="F43" s="4148"/>
      <c r="G43" s="1391" t="e">
        <f t="shared" si="0"/>
        <v>#VALUE!</v>
      </c>
      <c r="H43" s="1392" t="e">
        <f t="shared" si="3"/>
        <v>#VALUE!</v>
      </c>
      <c r="I43" s="1389"/>
      <c r="J43" s="1393" t="e">
        <f t="shared" si="1"/>
        <v>#VALUE!</v>
      </c>
      <c r="K43" s="1393" t="e">
        <f t="shared" si="2"/>
        <v>#VALUE!</v>
      </c>
      <c r="L43" s="4165"/>
      <c r="M43" s="4165"/>
    </row>
    <row r="44" spans="2:14" ht="12.75" customHeight="1">
      <c r="B44" s="1561"/>
      <c r="C44" s="1562"/>
      <c r="D44" s="1563"/>
      <c r="E44" s="4147"/>
      <c r="F44" s="4148"/>
      <c r="G44" s="1391" t="e">
        <f t="shared" si="0"/>
        <v>#VALUE!</v>
      </c>
      <c r="H44" s="1392" t="e">
        <f t="shared" si="3"/>
        <v>#VALUE!</v>
      </c>
      <c r="I44" s="1389"/>
      <c r="J44" s="1393" t="e">
        <f t="shared" si="1"/>
        <v>#VALUE!</v>
      </c>
      <c r="K44" s="1393" t="e">
        <f t="shared" si="2"/>
        <v>#VALUE!</v>
      </c>
      <c r="L44" s="4165"/>
      <c r="M44" s="4165"/>
    </row>
    <row r="45" spans="2:14" ht="12.75" customHeight="1">
      <c r="B45" s="1561"/>
      <c r="C45" s="1562"/>
      <c r="D45" s="1563"/>
      <c r="E45" s="4147"/>
      <c r="F45" s="4148"/>
      <c r="G45" s="1391" t="e">
        <f t="shared" si="0"/>
        <v>#VALUE!</v>
      </c>
      <c r="H45" s="1392" t="e">
        <f t="shared" si="3"/>
        <v>#VALUE!</v>
      </c>
      <c r="I45" s="1389"/>
      <c r="J45" s="1393" t="e">
        <f t="shared" si="1"/>
        <v>#VALUE!</v>
      </c>
      <c r="K45" s="1393" t="e">
        <f t="shared" si="2"/>
        <v>#VALUE!</v>
      </c>
      <c r="L45" s="4165"/>
      <c r="M45" s="4165"/>
    </row>
    <row r="46" spans="2:14" ht="12.75" customHeight="1">
      <c r="B46" s="1561"/>
      <c r="C46" s="1562"/>
      <c r="D46" s="1563"/>
      <c r="E46" s="4147"/>
      <c r="F46" s="4148"/>
      <c r="G46" s="1391" t="e">
        <f t="shared" si="0"/>
        <v>#VALUE!</v>
      </c>
      <c r="H46" s="1392" t="e">
        <f t="shared" si="3"/>
        <v>#VALUE!</v>
      </c>
      <c r="I46" s="1389"/>
      <c r="J46" s="1393" t="e">
        <f t="shared" si="1"/>
        <v>#VALUE!</v>
      </c>
      <c r="K46" s="1393" t="e">
        <f t="shared" si="2"/>
        <v>#VALUE!</v>
      </c>
      <c r="L46" s="4165"/>
      <c r="M46" s="4165"/>
    </row>
    <row r="47" spans="2:14" ht="12.75" customHeight="1">
      <c r="B47" s="1561"/>
      <c r="C47" s="1562"/>
      <c r="D47" s="1563"/>
      <c r="E47" s="4147"/>
      <c r="F47" s="4148"/>
      <c r="G47" s="1391" t="e">
        <f t="shared" si="0"/>
        <v>#VALUE!</v>
      </c>
      <c r="H47" s="1392" t="e">
        <f t="shared" si="3"/>
        <v>#VALUE!</v>
      </c>
      <c r="I47" s="1389"/>
      <c r="J47" s="1393" t="e">
        <f t="shared" si="1"/>
        <v>#VALUE!</v>
      </c>
      <c r="K47" s="1393" t="e">
        <f t="shared" si="2"/>
        <v>#VALUE!</v>
      </c>
      <c r="L47" s="4165"/>
      <c r="M47" s="4165"/>
    </row>
    <row r="48" spans="2:14" ht="12.75" customHeight="1">
      <c r="B48" s="1561"/>
      <c r="C48" s="1562"/>
      <c r="D48" s="1563"/>
      <c r="E48" s="4147"/>
      <c r="F48" s="4148"/>
      <c r="G48" s="1391" t="e">
        <f t="shared" si="0"/>
        <v>#VALUE!</v>
      </c>
      <c r="H48" s="1392" t="e">
        <f t="shared" si="3"/>
        <v>#VALUE!</v>
      </c>
      <c r="I48" s="1389"/>
      <c r="J48" s="1393" t="e">
        <f t="shared" si="1"/>
        <v>#VALUE!</v>
      </c>
      <c r="K48" s="1393" t="e">
        <f t="shared" si="2"/>
        <v>#VALUE!</v>
      </c>
      <c r="L48" s="4165"/>
      <c r="M48" s="4165"/>
    </row>
    <row r="49" spans="1:13" ht="12.75" customHeight="1">
      <c r="B49" s="1561"/>
      <c r="C49" s="1562"/>
      <c r="D49" s="1563"/>
      <c r="E49" s="4147"/>
      <c r="F49" s="4148"/>
      <c r="G49" s="1391" t="e">
        <f t="shared" si="0"/>
        <v>#VALUE!</v>
      </c>
      <c r="H49" s="1392" t="e">
        <f t="shared" si="3"/>
        <v>#VALUE!</v>
      </c>
      <c r="I49" s="1389"/>
      <c r="J49" s="1393" t="e">
        <f t="shared" si="1"/>
        <v>#VALUE!</v>
      </c>
      <c r="K49" s="1393" t="e">
        <f t="shared" si="2"/>
        <v>#VALUE!</v>
      </c>
      <c r="L49" s="4165"/>
      <c r="M49" s="4165"/>
    </row>
    <row r="50" spans="1:13" ht="12.75" customHeight="1">
      <c r="B50" s="1561"/>
      <c r="C50" s="1562"/>
      <c r="D50" s="1563"/>
      <c r="E50" s="4147"/>
      <c r="F50" s="4148"/>
      <c r="G50" s="1391" t="e">
        <f t="shared" si="0"/>
        <v>#VALUE!</v>
      </c>
      <c r="H50" s="1392" t="e">
        <f t="shared" si="3"/>
        <v>#VALUE!</v>
      </c>
      <c r="I50" s="1389"/>
      <c r="J50" s="1393" t="e">
        <f t="shared" si="1"/>
        <v>#VALUE!</v>
      </c>
      <c r="K50" s="1393" t="e">
        <f t="shared" si="2"/>
        <v>#VALUE!</v>
      </c>
      <c r="L50" s="4165"/>
      <c r="M50" s="4165"/>
    </row>
    <row r="51" spans="1:13" ht="12.75" customHeight="1" thickBot="1">
      <c r="B51" s="1564"/>
      <c r="C51" s="1565"/>
      <c r="D51" s="1566"/>
      <c r="E51" s="4149"/>
      <c r="F51" s="4150"/>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7.9"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140" t="s">
        <v>3996</v>
      </c>
      <c r="H57" s="4141"/>
      <c r="I57" s="4138" t="s">
        <v>4010</v>
      </c>
      <c r="J57" s="4139"/>
      <c r="K57" s="4142"/>
    </row>
    <row r="58" spans="1:13" ht="15" customHeight="1">
      <c r="A58" s="1465"/>
      <c r="B58" s="1381"/>
      <c r="C58" s="1359">
        <f>SUMIF(C33:C51, "0", H33:H51)</f>
        <v>0</v>
      </c>
      <c r="D58" s="1484">
        <f t="shared" ref="D58:D63" si="4">ROUNDUP(C58*1.1,0)</f>
        <v>0</v>
      </c>
      <c r="E58" s="4144" t="s">
        <v>3997</v>
      </c>
      <c r="F58" s="4145"/>
      <c r="G58" s="4132">
        <f>'DCA Underwriting Assumptions'!H129</f>
        <v>159753.60000000001</v>
      </c>
      <c r="H58" s="4133"/>
      <c r="I58" s="4146">
        <f t="shared" ref="I58:I63" si="5">D58*G58</f>
        <v>0</v>
      </c>
      <c r="J58" s="4146"/>
      <c r="K58" s="4143"/>
    </row>
    <row r="59" spans="1:13">
      <c r="A59" s="1465"/>
      <c r="B59" s="1381"/>
      <c r="C59" s="1360">
        <f>SUMIF(C33:C51, "1", H33:H51)</f>
        <v>0</v>
      </c>
      <c r="D59" s="1485">
        <f t="shared" si="4"/>
        <v>0</v>
      </c>
      <c r="E59" s="4130" t="s">
        <v>2462</v>
      </c>
      <c r="F59" s="4131"/>
      <c r="G59" s="4132">
        <f>'DCA Underwriting Assumptions'!H130</f>
        <v>183132</v>
      </c>
      <c r="H59" s="4133"/>
      <c r="I59" s="4134">
        <f t="shared" si="5"/>
        <v>0</v>
      </c>
      <c r="J59" s="4134"/>
      <c r="K59" s="4143"/>
    </row>
    <row r="60" spans="1:13" ht="15" customHeight="1">
      <c r="A60" s="1465"/>
      <c r="B60" s="1381"/>
      <c r="C60" s="1360">
        <f>SUMIF(C33:C51, "2", H33:H51)</f>
        <v>0</v>
      </c>
      <c r="D60" s="1485">
        <f t="shared" si="4"/>
        <v>0</v>
      </c>
      <c r="E60" s="4130" t="s">
        <v>2463</v>
      </c>
      <c r="F60" s="4131"/>
      <c r="G60" s="4132">
        <f>'DCA Underwriting Assumptions'!H131</f>
        <v>222693.6</v>
      </c>
      <c r="H60" s="4133"/>
      <c r="I60" s="4134">
        <f t="shared" si="5"/>
        <v>0</v>
      </c>
      <c r="J60" s="4134"/>
      <c r="K60" s="4143"/>
    </row>
    <row r="61" spans="1:13">
      <c r="A61" s="1465"/>
      <c r="B61" s="1381"/>
      <c r="C61" s="1360">
        <f>SUMIF(C33:C51, "3", H33:H51)</f>
        <v>0</v>
      </c>
      <c r="D61" s="1485">
        <f t="shared" si="4"/>
        <v>0</v>
      </c>
      <c r="E61" s="4130" t="s">
        <v>2466</v>
      </c>
      <c r="F61" s="4131"/>
      <c r="G61" s="4132">
        <f>'DCA Underwriting Assumptions'!H132</f>
        <v>288093.59999999998</v>
      </c>
      <c r="H61" s="4133"/>
      <c r="I61" s="4134">
        <f t="shared" si="5"/>
        <v>0</v>
      </c>
      <c r="J61" s="4134"/>
      <c r="K61" s="4143"/>
    </row>
    <row r="62" spans="1:13">
      <c r="A62" s="1465"/>
      <c r="B62" s="1381"/>
      <c r="C62" s="1360">
        <f>SUMIF(C33:C51, "4", H33:H51)</f>
        <v>0</v>
      </c>
      <c r="D62" s="1485">
        <f t="shared" si="4"/>
        <v>0</v>
      </c>
      <c r="E62" s="4130" t="s">
        <v>3998</v>
      </c>
      <c r="F62" s="4131"/>
      <c r="G62" s="4132">
        <f>'DCA Underwriting Assumptions'!H133</f>
        <v>316236</v>
      </c>
      <c r="H62" s="4133"/>
      <c r="I62" s="4134">
        <f t="shared" si="5"/>
        <v>0</v>
      </c>
      <c r="J62" s="4134"/>
      <c r="K62" s="4143"/>
    </row>
    <row r="63" spans="1:13">
      <c r="A63" s="1482"/>
      <c r="B63" s="1382"/>
      <c r="C63" s="1361">
        <f>SUMIF(C33:C51, "5", H33:H51)</f>
        <v>0</v>
      </c>
      <c r="D63" s="1486">
        <f t="shared" si="4"/>
        <v>0</v>
      </c>
      <c r="E63" s="4135" t="s">
        <v>3999</v>
      </c>
      <c r="F63" s="4136"/>
      <c r="G63" s="4132">
        <f>'DCA Underwriting Assumptions'!H133</f>
        <v>316236</v>
      </c>
      <c r="H63" s="4133"/>
      <c r="I63" s="4137">
        <f t="shared" si="5"/>
        <v>0</v>
      </c>
      <c r="J63" s="413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5" t="str">
        <f>CONCATENATE("PART SEVEN - THRESHOLD CRITERIA","  -  ",'Part I-Project Identification'!$O$7," ",'Part I-Project Identification'!$F$25,", ",'Part I-Project Identification'!F26,", ",'Part I-Project Identification'!J26," County")</f>
        <v>PART SEVEN - THRESHOLD CRITERIA  -  2023-0 Windsor Crossing, Nashville, Berrien County</v>
      </c>
      <c r="B1" s="3326"/>
      <c r="C1" s="3326"/>
      <c r="D1" s="3326"/>
      <c r="E1" s="3326"/>
      <c r="F1" s="3326"/>
      <c r="G1" s="3326"/>
      <c r="H1" s="3326"/>
      <c r="I1" s="3326"/>
      <c r="J1" s="3326"/>
      <c r="K1" s="3326"/>
      <c r="L1" s="3326"/>
      <c r="M1" s="3326"/>
      <c r="N1" s="3326"/>
      <c r="O1" s="3326"/>
      <c r="P1" s="3326"/>
      <c r="Q1" s="3326"/>
      <c r="R1" s="1804"/>
      <c r="S1" s="1804"/>
    </row>
    <row r="2" spans="1:19" customFormat="1" ht="3" customHeight="1">
      <c r="R2" s="1804"/>
      <c r="S2" s="1804"/>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6530</v>
      </c>
      <c r="R3" s="1804"/>
      <c r="S3" s="1804"/>
    </row>
    <row r="4" spans="1:19" ht="3" customHeight="1">
      <c r="A4" s="686"/>
      <c r="B4" s="4313"/>
      <c r="C4" s="4313"/>
      <c r="D4" s="4313"/>
      <c r="E4" s="686"/>
      <c r="F4" s="686"/>
      <c r="G4" s="686"/>
      <c r="H4" s="686"/>
      <c r="J4" s="490"/>
      <c r="K4" s="686"/>
      <c r="L4" s="686"/>
      <c r="M4" s="686"/>
      <c r="N4" s="686"/>
      <c r="P4" s="4323"/>
      <c r="Q4" s="4369"/>
      <c r="R4" s="1804"/>
      <c r="S4" s="1804"/>
    </row>
    <row r="5" spans="1:19">
      <c r="E5" s="4321" t="str">
        <f>'Part I-Project Identification'!$A$6</f>
        <v>April 2023</v>
      </c>
      <c r="F5" s="4321"/>
      <c r="G5" s="4321"/>
      <c r="H5" s="4321"/>
      <c r="I5" s="4321"/>
      <c r="J5" s="490"/>
      <c r="K5" s="1805"/>
      <c r="L5" s="1806" t="s">
        <v>6529</v>
      </c>
      <c r="M5" s="1807" t="str">
        <f>'Part I-Project Identification'!$F$12</f>
        <v>9% Credit Competitive Round only</v>
      </c>
      <c r="N5" s="1808"/>
      <c r="O5" s="1809"/>
      <c r="P5" s="4324"/>
      <c r="Q5" s="4370"/>
      <c r="R5" s="1604"/>
      <c r="S5" s="1604"/>
    </row>
    <row r="6" spans="1:19" ht="17.25" customHeight="1">
      <c r="A6" s="96" t="s">
        <v>6528</v>
      </c>
      <c r="I6" s="490"/>
      <c r="J6" s="490"/>
      <c r="K6" s="4319" t="s">
        <v>3280</v>
      </c>
      <c r="L6" s="4319"/>
      <c r="M6" s="4319"/>
      <c r="N6" s="4319"/>
      <c r="O6" s="4320"/>
      <c r="P6" s="4314"/>
      <c r="Q6" s="4315"/>
      <c r="R6" s="1604"/>
      <c r="S6" s="1604"/>
    </row>
    <row r="7" spans="1:19" ht="12.6" customHeight="1">
      <c r="A7" s="97" t="s">
        <v>3066</v>
      </c>
      <c r="H7" s="1001"/>
      <c r="I7" s="1803"/>
      <c r="J7" s="1803"/>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9" t="s">
        <v>1883</v>
      </c>
      <c r="S8" s="3012"/>
    </row>
    <row r="9" spans="1:19" ht="23.25" customHeight="1">
      <c r="A9" s="4298" t="s">
        <v>218</v>
      </c>
      <c r="B9" s="4299"/>
      <c r="C9" s="4299"/>
      <c r="D9" s="4299"/>
      <c r="E9" s="4299"/>
      <c r="F9" s="4299"/>
      <c r="G9" s="4299"/>
      <c r="H9" s="4299"/>
      <c r="I9" s="4299"/>
      <c r="J9" s="4299"/>
      <c r="K9" s="4299"/>
      <c r="L9" s="4299"/>
      <c r="M9" s="4299"/>
      <c r="N9" s="4299"/>
      <c r="O9" s="4299"/>
      <c r="P9" s="4299"/>
      <c r="Q9" s="4300"/>
      <c r="R9" s="3049"/>
      <c r="S9" s="3012"/>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9"/>
      <c r="S10" s="3012"/>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9"/>
      <c r="S11" s="3012"/>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9"/>
      <c r="S15" s="3012"/>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9"/>
      <c r="S16" s="3012"/>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9"/>
      <c r="S17" s="3012"/>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9"/>
      <c r="S18" s="3012"/>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9"/>
      <c r="S19" s="3012"/>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9"/>
      <c r="S20" s="3012"/>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9"/>
      <c r="S22" s="3012"/>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9"/>
      <c r="S23" s="3012"/>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9"/>
      <c r="S24" s="3012"/>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9"/>
      <c r="S25" s="3012"/>
    </row>
    <row r="26" spans="1:31" ht="6" customHeight="1"/>
    <row r="27" spans="1:31" ht="14.1" customHeight="1">
      <c r="A27" s="98" t="s">
        <v>689</v>
      </c>
      <c r="B27" s="99" t="s">
        <v>6632</v>
      </c>
      <c r="C27" s="100"/>
      <c r="D27" s="66"/>
      <c r="E27" s="66"/>
      <c r="F27" s="66"/>
      <c r="G27" s="66"/>
      <c r="I27" s="891"/>
      <c r="J27" s="891"/>
      <c r="K27" s="891"/>
      <c r="L27" s="686"/>
      <c r="M27" s="686"/>
      <c r="O27" s="101" t="s">
        <v>1731</v>
      </c>
      <c r="P27" s="4201"/>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1"/>
      <c r="Q34" s="4202"/>
    </row>
    <row r="35" spans="1:31" ht="12.75" customHeight="1">
      <c r="A35" s="2"/>
      <c r="B35" s="108" t="s">
        <v>6640</v>
      </c>
      <c r="C35" s="4"/>
      <c r="D35" s="4"/>
      <c r="E35" s="887"/>
      <c r="F35" s="887"/>
      <c r="H35" s="887"/>
      <c r="J35" s="3042" t="s">
        <v>6464</v>
      </c>
      <c r="K35" s="3043"/>
      <c r="L35" s="3044"/>
      <c r="M35" s="147" t="s">
        <v>1647</v>
      </c>
      <c r="N35" s="4192"/>
      <c r="O35" s="4193"/>
      <c r="P35" s="4193"/>
      <c r="Q35" s="4194"/>
    </row>
    <row r="36" spans="1:31" ht="12.75" customHeight="1">
      <c r="A36" s="2"/>
      <c r="B36" s="108" t="s">
        <v>6639</v>
      </c>
      <c r="C36" s="4"/>
      <c r="D36" s="4"/>
      <c r="E36" s="887"/>
      <c r="F36" s="887"/>
      <c r="G36" s="1664"/>
      <c r="H36" s="887"/>
      <c r="J36" s="3042" t="s">
        <v>6465</v>
      </c>
      <c r="K36" s="3043"/>
      <c r="L36" s="3044"/>
      <c r="M36" s="147" t="s">
        <v>1647</v>
      </c>
      <c r="N36" s="4192"/>
      <c r="O36" s="4193"/>
      <c r="P36" s="4193"/>
      <c r="Q36" s="4194"/>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1"/>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203">
        <v>2</v>
      </c>
      <c r="N42" s="108" t="s">
        <v>4020</v>
      </c>
      <c r="P42" s="4347"/>
      <c r="Q42" s="4357"/>
    </row>
    <row r="43" spans="1:31" ht="12" customHeight="1">
      <c r="A43" s="110"/>
      <c r="B43" s="4195"/>
      <c r="C43" s="4195"/>
      <c r="D43" s="4195"/>
      <c r="E43" s="4195"/>
      <c r="F43" s="4195"/>
      <c r="G43" s="4195"/>
      <c r="H43" s="4195"/>
      <c r="I43" s="4195"/>
      <c r="J43" s="4195"/>
      <c r="K43" s="115"/>
      <c r="L43" s="347" t="s">
        <v>3787</v>
      </c>
      <c r="M43" s="1204">
        <v>4</v>
      </c>
      <c r="O43" s="111"/>
      <c r="P43" s="4348"/>
      <c r="Q43" s="4358"/>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8"/>
      <c r="M50" s="4219"/>
      <c r="N50" s="4219"/>
      <c r="O50" s="4219"/>
      <c r="P50" s="4219"/>
      <c r="Q50" s="4297"/>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3945</v>
      </c>
      <c r="D59" s="103"/>
      <c r="E59" s="103"/>
      <c r="F59" s="103"/>
      <c r="L59" s="48" t="s">
        <v>1843</v>
      </c>
      <c r="M59" s="4345"/>
      <c r="N59" s="4346"/>
      <c r="O59" s="4346"/>
      <c r="P59" s="3211"/>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238"/>
      <c r="F65" s="4238"/>
      <c r="G65" s="4238"/>
      <c r="H65" s="48" t="s">
        <v>1448</v>
      </c>
      <c r="I65" s="1772"/>
      <c r="J65" s="4238"/>
      <c r="K65" s="4238"/>
      <c r="L65" s="4238"/>
      <c r="M65" s="48" t="s">
        <v>481</v>
      </c>
      <c r="N65" s="1772"/>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6531</v>
      </c>
      <c r="O92" s="101" t="s">
        <v>1731</v>
      </c>
      <c r="P92" s="4201"/>
      <c r="Q92" s="4202"/>
      <c r="R92" s="860" t="s">
        <v>6518</v>
      </c>
    </row>
    <row r="93" spans="1:31" ht="6.6" customHeight="1"/>
    <row r="94" spans="1:31">
      <c r="A94" s="40" t="s">
        <v>1841</v>
      </c>
      <c r="B94" s="29" t="s">
        <v>6185</v>
      </c>
      <c r="D94" s="103"/>
      <c r="E94" s="103"/>
      <c r="F94" s="103"/>
      <c r="G94" s="103"/>
      <c r="H94" s="103"/>
      <c r="I94" s="35"/>
      <c r="J94" s="35"/>
      <c r="K94" s="48" t="s">
        <v>1841</v>
      </c>
      <c r="L94" s="4240"/>
      <c r="M94" s="4240"/>
      <c r="N94" s="4240"/>
      <c r="O94" s="4240"/>
      <c r="P94" s="4241"/>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1"/>
      <c r="Q130" s="4202"/>
      <c r="R130" s="860" t="s">
        <v>6518</v>
      </c>
    </row>
    <row r="131" spans="1:31" ht="12" customHeight="1">
      <c r="A131" s="40" t="s">
        <v>1841</v>
      </c>
      <c r="B131" s="113" t="s">
        <v>1614</v>
      </c>
      <c r="C131" s="29" t="s">
        <v>6533</v>
      </c>
      <c r="D131" s="29"/>
      <c r="E131" s="29"/>
      <c r="F131" s="29"/>
      <c r="G131" s="29"/>
      <c r="K131" s="29" t="s">
        <v>2460</v>
      </c>
      <c r="M131" s="4304"/>
      <c r="N131" s="4305"/>
      <c r="O131" s="49" t="s">
        <v>1614</v>
      </c>
      <c r="P131" s="74"/>
      <c r="Q131" s="417"/>
    </row>
    <row r="132" spans="1:31" ht="12" customHeight="1">
      <c r="A132" s="40"/>
      <c r="B132" s="113" t="s">
        <v>1615</v>
      </c>
      <c r="C132" s="29" t="s">
        <v>4054</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6" t="s">
        <v>6840</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7" t="s">
        <v>2427</v>
      </c>
      <c r="C151" s="3597"/>
      <c r="D151" s="3597"/>
      <c r="E151" s="236"/>
      <c r="N151" s="858" t="s">
        <v>6531</v>
      </c>
      <c r="O151" s="101" t="s">
        <v>1731</v>
      </c>
      <c r="P151" s="4201"/>
      <c r="Q151" s="4202"/>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1"/>
      <c r="Q169" s="4202"/>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3239</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1"/>
      <c r="Q177" s="4202"/>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7"/>
      <c r="Q179" s="1288"/>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1"/>
      <c r="Q189" s="420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2" t="s">
        <v>1646</v>
      </c>
      <c r="L192" s="422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5" t="s">
        <v>1646</v>
      </c>
      <c r="L193" s="4356"/>
      <c r="Q193" s="436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1" t="s">
        <v>6192</v>
      </c>
      <c r="D194" s="4362"/>
      <c r="E194" s="4362"/>
      <c r="F194" s="4362"/>
      <c r="G194" s="4362"/>
      <c r="H194" s="4362"/>
      <c r="I194" s="4362"/>
      <c r="J194" s="4362"/>
      <c r="K194" s="4362"/>
      <c r="L194" s="4362"/>
      <c r="M194" s="4362"/>
      <c r="N194" s="4362"/>
      <c r="O194" s="4363"/>
      <c r="Q194" s="436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9" t="s">
        <v>1646</v>
      </c>
      <c r="L195" s="4350"/>
      <c r="M195" s="4350"/>
      <c r="N195" s="435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44</v>
      </c>
      <c r="P197" s="4229" t="s">
        <v>3854</v>
      </c>
      <c r="Q197" s="433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5" t="s">
        <v>950</v>
      </c>
      <c r="D199" s="4336"/>
      <c r="E199" s="4336"/>
      <c r="F199" s="4336"/>
      <c r="G199" s="4337"/>
      <c r="H199" s="48" t="s">
        <v>1963</v>
      </c>
      <c r="I199" s="4338" t="s">
        <v>3400</v>
      </c>
      <c r="J199" s="4339"/>
      <c r="K199" s="4339"/>
      <c r="L199" s="4339"/>
      <c r="M199" s="4339"/>
      <c r="N199" s="4339"/>
      <c r="O199" s="434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2" t="s">
        <v>950</v>
      </c>
      <c r="D200" s="4353"/>
      <c r="E200" s="4353"/>
      <c r="F200" s="4353"/>
      <c r="G200" s="4354"/>
      <c r="H200" s="48" t="s">
        <v>1964</v>
      </c>
      <c r="I200" s="3137"/>
      <c r="J200" s="3079"/>
      <c r="K200" s="3079"/>
      <c r="L200" s="3079"/>
      <c r="M200" s="3079"/>
      <c r="N200" s="3079"/>
      <c r="O200" s="308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2" t="s">
        <v>950</v>
      </c>
      <c r="D201" s="4353"/>
      <c r="E201" s="4353"/>
      <c r="F201" s="4353"/>
      <c r="G201" s="4354"/>
      <c r="H201" s="48" t="s">
        <v>1611</v>
      </c>
      <c r="I201" s="3137" t="s">
        <v>3400</v>
      </c>
      <c r="J201" s="3079"/>
      <c r="K201" s="3079"/>
      <c r="L201" s="3079"/>
      <c r="M201" s="3079"/>
      <c r="N201" s="3079"/>
      <c r="O201" s="308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8" t="s">
        <v>950</v>
      </c>
      <c r="D202" s="4289"/>
      <c r="E202" s="4289"/>
      <c r="F202" s="4289"/>
      <c r="G202" s="4290"/>
      <c r="H202" s="48" t="s">
        <v>3864</v>
      </c>
      <c r="I202" s="3126"/>
      <c r="J202" s="3076"/>
      <c r="K202" s="3076"/>
      <c r="L202" s="3076"/>
      <c r="M202" s="3076"/>
      <c r="N202" s="3076"/>
      <c r="O202" s="3077"/>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Yes</v>
      </c>
      <c r="M217" s="887"/>
      <c r="O217" s="101" t="s">
        <v>1731</v>
      </c>
      <c r="P217" s="4201"/>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8"/>
      <c r="C220" s="4339"/>
      <c r="D220" s="4339"/>
      <c r="E220" s="4339"/>
      <c r="F220" s="4339"/>
      <c r="G220" s="4339"/>
      <c r="H220" s="4339"/>
      <c r="I220" s="4339"/>
      <c r="J220" s="1972"/>
      <c r="K220" s="4338"/>
      <c r="L220" s="4339"/>
      <c r="M220" s="4339"/>
      <c r="N220" s="4339"/>
      <c r="O220" s="4339"/>
      <c r="P220" s="4339"/>
      <c r="Q220" s="1972"/>
    </row>
    <row r="221" spans="1:44" s="102" customFormat="1" ht="11.25" customHeight="1">
      <c r="A221" s="110"/>
      <c r="B221" s="3137"/>
      <c r="C221" s="3079"/>
      <c r="D221" s="3079"/>
      <c r="E221" s="3079"/>
      <c r="F221" s="3079"/>
      <c r="G221" s="3079"/>
      <c r="H221" s="3079"/>
      <c r="I221" s="3079"/>
      <c r="J221" s="1973"/>
      <c r="K221" s="3137"/>
      <c r="L221" s="3079"/>
      <c r="M221" s="3079"/>
      <c r="N221" s="3079"/>
      <c r="O221" s="3079"/>
      <c r="P221" s="3079"/>
      <c r="Q221" s="1973"/>
    </row>
    <row r="222" spans="1:44" s="102" customFormat="1" ht="11.25" customHeight="1">
      <c r="A222" s="110"/>
      <c r="B222" s="3137"/>
      <c r="C222" s="3079"/>
      <c r="D222" s="3079"/>
      <c r="E222" s="3079"/>
      <c r="F222" s="3079"/>
      <c r="G222" s="3079"/>
      <c r="H222" s="3079"/>
      <c r="I222" s="3079"/>
      <c r="J222" s="1973"/>
      <c r="K222" s="3137"/>
      <c r="L222" s="3079"/>
      <c r="M222" s="3079"/>
      <c r="N222" s="3079"/>
      <c r="O222" s="3079"/>
      <c r="P222" s="3079"/>
      <c r="Q222" s="1973"/>
    </row>
    <row r="223" spans="1:44" s="102" customFormat="1" ht="11.25" customHeight="1">
      <c r="A223" s="110"/>
      <c r="B223" s="3137"/>
      <c r="C223" s="3079"/>
      <c r="D223" s="3079"/>
      <c r="E223" s="3079"/>
      <c r="F223" s="3079"/>
      <c r="G223" s="3079"/>
      <c r="H223" s="3079"/>
      <c r="I223" s="3079"/>
      <c r="J223" s="1973"/>
      <c r="K223" s="3137"/>
      <c r="L223" s="3079"/>
      <c r="M223" s="3079"/>
      <c r="N223" s="3079"/>
      <c r="O223" s="3079"/>
      <c r="P223" s="3079"/>
      <c r="Q223" s="1973"/>
    </row>
    <row r="224" spans="1:44" s="102" customFormat="1" ht="11.25" customHeight="1">
      <c r="A224" s="110"/>
      <c r="B224" s="3137"/>
      <c r="C224" s="3079"/>
      <c r="D224" s="3079"/>
      <c r="E224" s="3079"/>
      <c r="F224" s="3079"/>
      <c r="G224" s="3079"/>
      <c r="H224" s="3079"/>
      <c r="I224" s="3079"/>
      <c r="J224" s="1973"/>
      <c r="K224" s="3137"/>
      <c r="L224" s="3079"/>
      <c r="M224" s="3079"/>
      <c r="N224" s="3079"/>
      <c r="O224" s="3079"/>
      <c r="P224" s="3079"/>
      <c r="Q224" s="1973"/>
    </row>
    <row r="225" spans="1:44" s="102" customFormat="1" ht="11.25" customHeight="1">
      <c r="A225" s="110"/>
      <c r="B225" s="3137"/>
      <c r="C225" s="3079"/>
      <c r="D225" s="3079"/>
      <c r="E225" s="3079"/>
      <c r="F225" s="3079"/>
      <c r="G225" s="3079"/>
      <c r="H225" s="3079"/>
      <c r="I225" s="3079"/>
      <c r="J225" s="1973"/>
      <c r="K225" s="3137"/>
      <c r="L225" s="3079"/>
      <c r="M225" s="3079"/>
      <c r="N225" s="3079"/>
      <c r="O225" s="3079"/>
      <c r="P225" s="3079"/>
      <c r="Q225" s="1973"/>
    </row>
    <row r="226" spans="1:44" s="102" customFormat="1" ht="11.25" customHeight="1">
      <c r="A226" s="110"/>
      <c r="B226" s="3137"/>
      <c r="C226" s="3079"/>
      <c r="D226" s="3079"/>
      <c r="E226" s="3079"/>
      <c r="F226" s="3079"/>
      <c r="G226" s="3079"/>
      <c r="H226" s="3079"/>
      <c r="I226" s="3079"/>
      <c r="J226" s="1973"/>
      <c r="K226" s="3137"/>
      <c r="L226" s="3079"/>
      <c r="M226" s="3079"/>
      <c r="N226" s="3079"/>
      <c r="O226" s="3079"/>
      <c r="P226" s="3079"/>
      <c r="Q226" s="1973"/>
    </row>
    <row r="227" spans="1:44" s="102" customFormat="1" ht="11.25" customHeight="1">
      <c r="B227" s="3126"/>
      <c r="C227" s="3076"/>
      <c r="D227" s="3076"/>
      <c r="E227" s="3076"/>
      <c r="F227" s="3076"/>
      <c r="G227" s="3076"/>
      <c r="H227" s="3076"/>
      <c r="I227" s="3076"/>
      <c r="J227" s="1974"/>
      <c r="K227" s="3126"/>
      <c r="L227" s="3076"/>
      <c r="M227" s="3076"/>
      <c r="N227" s="3076"/>
      <c r="O227" s="3076"/>
      <c r="P227" s="3076"/>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1"/>
      <c r="Q236" s="420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8" t="s">
        <v>1646</v>
      </c>
      <c r="L238" s="4219"/>
      <c r="M238" s="4219"/>
      <c r="N238" s="4219"/>
      <c r="O238" s="4297"/>
      <c r="P238" s="4326" t="s">
        <v>1646</v>
      </c>
      <c r="Q238" s="432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5" t="s">
        <v>6194</v>
      </c>
      <c r="C239" s="4195"/>
      <c r="D239" s="4195"/>
      <c r="E239" s="4195"/>
      <c r="F239" s="4195"/>
      <c r="G239" s="4195"/>
      <c r="H239" s="4195"/>
      <c r="I239" s="4195"/>
      <c r="J239" s="4195"/>
      <c r="K239" s="4195"/>
      <c r="L239" s="4195"/>
      <c r="M239" s="4195"/>
      <c r="N239" s="4195"/>
      <c r="O239" s="428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4"/>
      <c r="L240" s="4285"/>
      <c r="M240" s="4285"/>
      <c r="N240" s="4285"/>
      <c r="O240" s="4286"/>
      <c r="P240" s="4280"/>
      <c r="Q240" s="428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5" t="s">
        <v>3244</v>
      </c>
      <c r="C246" s="4225"/>
      <c r="D246" s="4225"/>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5"/>
      <c r="C247" s="4225"/>
      <c r="D247" s="4225"/>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5"/>
      <c r="C248" s="4225"/>
      <c r="D248" s="4225"/>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5"/>
      <c r="C249" s="4225"/>
      <c r="D249" s="4225"/>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5" t="s">
        <v>6501</v>
      </c>
      <c r="F250" s="4195"/>
      <c r="G250" s="4195"/>
      <c r="H250" s="4195"/>
      <c r="I250" s="4195"/>
      <c r="J250" s="4195"/>
      <c r="K250" s="4195"/>
      <c r="L250" s="4195"/>
      <c r="M250" s="4195"/>
      <c r="N250" s="419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1"/>
      <c r="Q256" s="420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1"/>
      <c r="Q268" s="420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5" t="s">
        <v>3846</v>
      </c>
      <c r="D271" s="4195"/>
      <c r="E271" s="4195"/>
      <c r="F271" s="4195"/>
      <c r="G271" s="4195"/>
      <c r="H271" s="4195"/>
      <c r="I271" s="4195"/>
      <c r="J271" s="4195"/>
      <c r="K271" s="4195"/>
      <c r="L271" s="4195"/>
      <c r="M271" s="4195"/>
      <c r="N271" s="419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6" t="s">
        <v>3336</v>
      </c>
      <c r="M273" s="4227"/>
      <c r="N273" s="4227"/>
      <c r="O273" s="4227"/>
      <c r="P273" s="422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1"/>
      <c r="Q281" s="420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5" t="s">
        <v>6655</v>
      </c>
      <c r="D284" s="4195"/>
      <c r="E284" s="4195"/>
      <c r="F284" s="4195"/>
      <c r="G284" s="4195"/>
      <c r="H284" s="4195"/>
      <c r="I284" s="4195"/>
      <c r="J284" s="4195"/>
      <c r="K284" s="4195"/>
      <c r="L284" s="4195"/>
      <c r="M284" s="4195"/>
      <c r="N284" s="4195"/>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5" t="s">
        <v>6656</v>
      </c>
      <c r="D285" s="4195"/>
      <c r="E285" s="4195"/>
      <c r="F285" s="4195"/>
      <c r="G285" s="4195"/>
      <c r="H285" s="4195"/>
      <c r="I285" s="4195"/>
      <c r="J285" s="4195"/>
      <c r="K285" s="4195"/>
      <c r="L285" s="4195"/>
      <c r="M285" s="4195"/>
      <c r="N285" s="419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5" t="s">
        <v>6203</v>
      </c>
      <c r="E288" s="4195"/>
      <c r="F288" s="4195"/>
      <c r="G288" s="4195"/>
      <c r="H288" s="4195"/>
      <c r="I288" s="108"/>
      <c r="J288" s="4203" t="s">
        <v>3265</v>
      </c>
      <c r="K288" s="4229"/>
      <c r="L288" s="4229"/>
      <c r="M288" s="4333" t="s">
        <v>3246</v>
      </c>
      <c r="N288" s="4333"/>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5"/>
      <c r="E289" s="4195"/>
      <c r="F289" s="4195"/>
      <c r="G289" s="4195"/>
      <c r="H289" s="4195"/>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6204</v>
      </c>
      <c r="E291" s="4195"/>
      <c r="F291" s="4195"/>
      <c r="G291" s="4195"/>
      <c r="H291" s="4195"/>
      <c r="I291" s="370" t="s">
        <v>3387</v>
      </c>
      <c r="J291" s="144"/>
      <c r="K291" s="1596"/>
      <c r="L291" s="795" t="str">
        <f>IF(K291&lt;M291,"Check!!!","")</f>
        <v/>
      </c>
      <c r="M291" s="1598">
        <f>ROUNDUP(K290*'Part VII-Threshold Criteria OLD'!N291,0)</f>
        <v>0</v>
      </c>
      <c r="N291" s="1205">
        <f>'DCA Underwriting Assumptions'!$Q$123</f>
        <v>0.4</v>
      </c>
      <c r="O291" s="48" t="s">
        <v>1964</v>
      </c>
      <c r="P291" s="4232"/>
      <c r="Q291" s="423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5"/>
      <c r="E292" s="4195"/>
      <c r="F292" s="4195"/>
      <c r="G292" s="4195"/>
      <c r="H292" s="4195"/>
      <c r="O292" s="33"/>
      <c r="P292" s="4233"/>
      <c r="Q292" s="423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5"/>
      <c r="D294" s="4195"/>
      <c r="E294" s="4195"/>
      <c r="F294" s="4195"/>
      <c r="G294" s="4195"/>
      <c r="H294" s="419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7"/>
      <c r="M298" s="4278"/>
      <c r="N298" s="4278"/>
      <c r="O298" s="4278"/>
      <c r="P298" s="4278"/>
      <c r="Q298" s="427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5" t="s">
        <v>6657</v>
      </c>
      <c r="D299" s="4195"/>
      <c r="E299" s="4195"/>
      <c r="F299" s="4195"/>
      <c r="G299" s="4195"/>
      <c r="H299" s="4195"/>
      <c r="I299" s="4195"/>
      <c r="J299" s="4195"/>
      <c r="K299" s="4195"/>
      <c r="L299" s="4195"/>
      <c r="M299" s="4195"/>
      <c r="N299" s="4195"/>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5" t="s">
        <v>3832</v>
      </c>
      <c r="D300" s="4195"/>
      <c r="E300" s="4195"/>
      <c r="F300" s="4195"/>
      <c r="G300" s="4195"/>
      <c r="H300" s="4195"/>
      <c r="I300" s="4195"/>
      <c r="J300" s="4195"/>
      <c r="K300" s="4195"/>
      <c r="L300" s="4195"/>
      <c r="M300" s="4195"/>
      <c r="N300" s="4195"/>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8"/>
      <c r="Q307" s="432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8" t="s">
        <v>1646</v>
      </c>
      <c r="L310" s="4219"/>
      <c r="M310" s="4219"/>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5" t="s">
        <v>1066</v>
      </c>
      <c r="D315" s="4195"/>
      <c r="E315" s="4195"/>
      <c r="F315" s="4287"/>
      <c r="G315" s="3126" t="s">
        <v>1018</v>
      </c>
      <c r="H315" s="4291"/>
      <c r="I315" s="4291"/>
      <c r="J315" s="4291"/>
      <c r="K315" s="4291"/>
      <c r="L315" s="4291"/>
      <c r="M315" s="4291"/>
      <c r="N315" s="4292"/>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1" t="s">
        <v>6121</v>
      </c>
      <c r="H317" s="4221"/>
      <c r="I317" s="4221"/>
      <c r="J317" s="4221"/>
      <c r="K317" s="4221"/>
      <c r="L317" s="4221"/>
      <c r="M317" s="4221"/>
      <c r="N317" s="422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6"/>
      <c r="B325" s="4207"/>
      <c r="C325" s="4207"/>
      <c r="D325" s="4207"/>
      <c r="E325" s="4207"/>
      <c r="F325" s="4207"/>
      <c r="G325" s="4207"/>
      <c r="H325" s="4207"/>
      <c r="I325" s="4207"/>
      <c r="J325" s="4207"/>
      <c r="K325" s="4207"/>
      <c r="L325" s="4207"/>
      <c r="M325" s="4207"/>
      <c r="N325" s="4207"/>
      <c r="O325" s="4207"/>
      <c r="P325" s="4207"/>
      <c r="Q325" s="420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1"/>
      <c r="Q326" s="4202"/>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70" t="s">
        <v>1646</v>
      </c>
      <c r="O329" s="4271"/>
      <c r="P329" s="4272" t="s">
        <v>1646</v>
      </c>
      <c r="Q329" s="4273"/>
    </row>
    <row r="330" spans="1:256" ht="11.65" customHeight="1">
      <c r="A330" s="40" t="s">
        <v>1962</v>
      </c>
      <c r="B330" s="44" t="s">
        <v>6536</v>
      </c>
      <c r="O330" s="48" t="s">
        <v>1962</v>
      </c>
      <c r="P330" s="1400"/>
      <c r="Q330" s="1399"/>
    </row>
    <row r="331" spans="1:256" ht="11.65" customHeight="1">
      <c r="A331" s="110" t="s">
        <v>1612</v>
      </c>
      <c r="B331" s="44" t="s">
        <v>6537</v>
      </c>
      <c r="N331" s="128" t="s">
        <v>1612</v>
      </c>
      <c r="O331" s="4264" t="s">
        <v>2559</v>
      </c>
      <c r="P331" s="4265"/>
      <c r="Q331" s="4266"/>
    </row>
    <row r="332" spans="1:256" ht="11.65" customHeight="1">
      <c r="A332" s="110" t="s">
        <v>1613</v>
      </c>
      <c r="B332" s="67" t="s">
        <v>2170</v>
      </c>
      <c r="N332" s="128" t="s">
        <v>1613</v>
      </c>
      <c r="O332" s="4330" t="s">
        <v>2559</v>
      </c>
      <c r="P332" s="4331"/>
      <c r="Q332" s="4332"/>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40">
        <f>'Part V-Revenues &amp; Expenses'!$P$67</f>
        <v>44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3358</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3359</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3350</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65"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3201</v>
      </c>
      <c r="G374" s="889"/>
      <c r="H374" s="889"/>
      <c r="I374" s="889"/>
      <c r="J374" s="33" t="s">
        <v>3202</v>
      </c>
      <c r="L374" s="889"/>
      <c r="M374" s="4262">
        <f>'Part II-Sources of Funds'!I6</f>
        <v>0</v>
      </c>
      <c r="N374" s="426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5"/>
      <c r="Q391" s="4216"/>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8"/>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5" t="s">
        <v>6150</v>
      </c>
      <c r="D400" s="4195"/>
      <c r="E400" s="4195"/>
      <c r="F400" s="4195"/>
      <c r="G400" s="29" t="s">
        <v>3942</v>
      </c>
      <c r="J400" s="718"/>
      <c r="K400" s="426"/>
      <c r="M400" s="29" t="s">
        <v>6224</v>
      </c>
      <c r="P400" s="1760"/>
      <c r="Q400" s="1761"/>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33"/>
      <c r="L402" s="33"/>
      <c r="M402" s="35"/>
      <c r="N402" s="48"/>
    </row>
    <row r="403" spans="1:44" s="72" customFormat="1" ht="12.75" customHeight="1">
      <c r="A403" s="107"/>
      <c r="B403" s="153"/>
      <c r="D403" s="892"/>
      <c r="E403" s="892"/>
      <c r="F403" s="892"/>
      <c r="G403" s="892"/>
      <c r="H403" s="892"/>
      <c r="I403" s="4203" t="s">
        <v>6180</v>
      </c>
      <c r="J403" s="4203" t="s">
        <v>6181</v>
      </c>
      <c r="K403" s="4203" t="s">
        <v>6183</v>
      </c>
      <c r="L403" s="4203"/>
      <c r="M403" s="4203"/>
      <c r="N403" s="4242" t="s">
        <v>6182</v>
      </c>
      <c r="O403" s="48"/>
      <c r="P403" s="4366" t="s">
        <v>6697</v>
      </c>
      <c r="Q403" s="436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5" t="s">
        <v>6294</v>
      </c>
      <c r="D405" s="4195"/>
      <c r="E405" s="4195"/>
      <c r="F405" s="4195"/>
      <c r="G405" s="4195"/>
      <c r="H405" s="4195"/>
      <c r="I405" s="365">
        <f>K290</f>
        <v>0</v>
      </c>
      <c r="J405" s="1762"/>
      <c r="K405" s="4204"/>
      <c r="L405" s="4204"/>
      <c r="M405" s="420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5"/>
      <c r="D406" s="4195"/>
      <c r="E406" s="4195"/>
      <c r="F406" s="4195"/>
      <c r="G406" s="4195"/>
      <c r="H406" s="4195"/>
      <c r="I406" s="248"/>
      <c r="J406" s="1763"/>
      <c r="K406" s="4244"/>
      <c r="L406" s="4244"/>
      <c r="M406" s="42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4"/>
      <c r="L408" s="4204"/>
      <c r="M408" s="420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4"/>
      <c r="L409" s="4244"/>
      <c r="M409" s="42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62"/>
      <c r="K411" s="4204"/>
      <c r="L411" s="4204"/>
      <c r="M411" s="420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5"/>
      <c r="D412" s="4195"/>
      <c r="E412" s="4195"/>
      <c r="F412" s="4195"/>
      <c r="G412" s="4195"/>
      <c r="H412" s="4195"/>
      <c r="J412" s="1763"/>
      <c r="K412" s="4244"/>
      <c r="L412" s="4244"/>
      <c r="M412" s="42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0" t="s">
        <v>6228</v>
      </c>
      <c r="E416" s="352" t="s">
        <v>2263</v>
      </c>
      <c r="F416" s="44" t="s">
        <v>3287</v>
      </c>
      <c r="G416" s="4196"/>
      <c r="H416" s="4197"/>
      <c r="I416" s="4197"/>
      <c r="J416" s="4197"/>
      <c r="K416" s="4198"/>
      <c r="L416" s="352"/>
    </row>
    <row r="417" spans="1:31" ht="12" customHeight="1">
      <c r="B417" s="115"/>
      <c r="D417" s="4200"/>
      <c r="E417" s="352" t="s">
        <v>3939</v>
      </c>
      <c r="F417" s="44" t="s">
        <v>3940</v>
      </c>
      <c r="G417" s="4253" t="s">
        <v>3204</v>
      </c>
      <c r="H417" s="4254"/>
      <c r="I417" s="4255"/>
      <c r="J417" s="44" t="s">
        <v>3801</v>
      </c>
      <c r="K417" s="115"/>
      <c r="M417" s="4196"/>
      <c r="N417" s="4197"/>
      <c r="O417" s="4197"/>
      <c r="P417" s="4197"/>
      <c r="Q417" s="419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6"/>
      <c r="C419" s="4247"/>
      <c r="D419" s="4247"/>
      <c r="E419" s="4247"/>
      <c r="F419" s="4247"/>
      <c r="G419" s="4247"/>
      <c r="H419" s="4247"/>
      <c r="I419" s="4247"/>
      <c r="J419" s="4247"/>
      <c r="K419" s="4247"/>
      <c r="L419" s="4247"/>
      <c r="M419" s="4247"/>
      <c r="N419" s="4247"/>
      <c r="O419" s="4247"/>
      <c r="P419" s="4247"/>
      <c r="Q419" s="42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6"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1"/>
      <c r="Q428" s="4202"/>
    </row>
    <row r="429" spans="1:31" ht="14.1"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9" t="s">
        <v>6523</v>
      </c>
      <c r="B2" s="4399"/>
      <c r="C2" s="147"/>
      <c r="D2" s="795">
        <v>2021</v>
      </c>
      <c r="E2" s="144"/>
      <c r="F2" s="4393" t="s">
        <v>2999</v>
      </c>
      <c r="G2" s="4394"/>
      <c r="H2" s="4394"/>
      <c r="I2" s="4394"/>
      <c r="J2" s="4395"/>
      <c r="K2" s="234"/>
      <c r="L2" s="443" t="s">
        <v>3141</v>
      </c>
      <c r="M2" s="234"/>
      <c r="N2" s="4393" t="s">
        <v>2999</v>
      </c>
      <c r="O2" s="4394"/>
      <c r="P2" s="4394"/>
      <c r="Q2" s="4394"/>
      <c r="R2" s="4395"/>
      <c r="S2" s="241"/>
      <c r="T2" s="144"/>
      <c r="U2" s="144"/>
      <c r="V2" s="322"/>
      <c r="W2" s="322"/>
      <c r="X2" s="322"/>
      <c r="AA2" s="68"/>
      <c r="AB2" s="68"/>
    </row>
    <row r="3" spans="1:28" s="145" customFormat="1" ht="11.65"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5"/>
      <c r="G45" s="4422" t="s">
        <v>2465</v>
      </c>
      <c r="H45" s="4423"/>
      <c r="I45" s="66"/>
      <c r="J45" s="35"/>
      <c r="K45" s="4424" t="s">
        <v>3164</v>
      </c>
      <c r="L45" s="4425"/>
      <c r="M45" s="4425"/>
      <c r="N45" s="4426"/>
    </row>
    <row r="46" spans="1:295" s="28" customFormat="1" ht="11.25" customHeight="1">
      <c r="A46" s="4409"/>
      <c r="B46" s="4409"/>
      <c r="C46" s="4409"/>
      <c r="D46" s="4409"/>
      <c r="E46" s="4409"/>
      <c r="F46" s="1245"/>
      <c r="G46" s="4427" t="s">
        <v>333</v>
      </c>
      <c r="H46" s="4428"/>
      <c r="I46" s="66"/>
      <c r="J46" s="35"/>
      <c r="K46" s="4402" t="s">
        <v>3165</v>
      </c>
      <c r="L46" s="4403"/>
      <c r="M46" s="4403"/>
      <c r="N46" s="4404"/>
      <c r="P46" s="405" t="s">
        <v>2474</v>
      </c>
      <c r="Q46" s="74"/>
    </row>
    <row r="47" spans="1:295" s="28" customFormat="1" ht="4.5" customHeight="1">
      <c r="A47" s="1245"/>
      <c r="B47" s="1245"/>
      <c r="C47" s="1245"/>
      <c r="D47" s="1245"/>
      <c r="E47" s="1245"/>
      <c r="F47" s="1245"/>
      <c r="G47" s="66"/>
      <c r="H47" s="66"/>
      <c r="I47" s="66"/>
      <c r="J47" s="35"/>
      <c r="K47" s="4260"/>
      <c r="L47" s="4260"/>
      <c r="M47" s="4260"/>
      <c r="N47" s="4260"/>
      <c r="P47" s="4407" t="s">
        <v>3935</v>
      </c>
      <c r="Q47" s="4407"/>
    </row>
    <row r="48" spans="1:295" s="62" customFormat="1" ht="10.5" customHeight="1">
      <c r="D48" s="491" t="s">
        <v>2464</v>
      </c>
      <c r="E48" s="28"/>
      <c r="F48" s="492" t="s">
        <v>3067</v>
      </c>
      <c r="G48" s="4397" t="s">
        <v>3892</v>
      </c>
      <c r="H48" s="4397"/>
      <c r="I48" s="4397"/>
      <c r="J48" s="28"/>
      <c r="K48" s="492" t="s">
        <v>3067</v>
      </c>
      <c r="L48" s="4397" t="s">
        <v>3891</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4" t="str">
        <f>IF('Part I-Project Identification'!$F$26="","",VLOOKUP('Part I-Project Identification'!$J$26,'DCA Underwriting Assumptions'!$G$141:$N$300,8,FALSE))</f>
        <v>Valdosta</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6" t="s">
        <v>3936</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5">
        <f>'Part III-A-Uses of Funds'!$G$146</f>
        <v>14641816.182497175</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3927</v>
      </c>
      <c r="Q54" s="4366"/>
      <c r="R54" s="4396" t="s">
        <v>6299</v>
      </c>
      <c r="S54" s="4396"/>
      <c r="T54" s="439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5">
        <f>'Part III-A-Uses of Funds'!$G$146-'Part III-A-Uses of Funds'!$G$92-'Part III-A-Uses of Funds'!$G$114-'Part III-A-Uses of Funds'!$G$130-'Part III-A-Uses of Funds'!$G$131-'Part III-A-Uses of Funds'!$G$132</f>
        <v>14253635.182497175</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70" t="s">
        <v>3364</v>
      </c>
      <c r="Q57" s="337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8"/>
      <c r="Q58" s="4419"/>
      <c r="R58" s="328"/>
      <c r="S58" s="4379" t="s">
        <v>3930</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400" t="s">
        <v>3160</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6 units = </v>
      </c>
      <c r="I64" s="1244">
        <f>IF(F64="","",F64*G64)</f>
        <v>973327.79999999993</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400" t="s">
        <v>3161</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24 units = </v>
      </c>
      <c r="I65" s="1244">
        <f>IF(F65="","",F65*G65)</f>
        <v>4922901.5999999996</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14 units = </v>
      </c>
      <c r="I66" s="1244">
        <f>IF(F66="","",F66*G66)</f>
        <v>3615673.6000000006</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44</v>
      </c>
      <c r="G68" s="493"/>
      <c r="H68" s="871"/>
      <c r="I68" s="872">
        <f>SUM(I63:I67)</f>
        <v>9511903</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10">
        <f>IF(P58&gt;1,P58, IF(OR('Part VIII Scoring Criteria OLD'!$O$113='Part VIII Scoring Criteria OLD'!$M$113,AND('Part III-A-Uses of Funds'!$T$179="Yes",'Part VIII Scoring Criteria OLD'!$O$378&gt;0)),H77+M77,H77))</f>
        <v>9511903</v>
      </c>
      <c r="Q71" s="441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12"/>
      <c r="Q72" s="441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8" t="s">
        <v>3448</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44</v>
      </c>
      <c r="G77" s="258"/>
      <c r="H77" s="4398">
        <f>I54+I61+I68+I75</f>
        <v>9511903</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5" t="str">
        <f>CONCATENATE("PART EIGHT - SCORING CRITERIA","  -  ",'Part I-Project Identification'!$O$7," ",'Part I-Project Identification'!$F$25,", ",'Part I-Project Identification'!F26,", ",'Part I-Project Identification'!J26," County")</f>
        <v>PART EIGHT - SCORING CRITERIA  -  2023-0 Windsor Crossing, Nashville, Berrien County</v>
      </c>
      <c r="B1" s="3326"/>
      <c r="C1" s="3326"/>
      <c r="D1" s="3326"/>
      <c r="E1" s="3326"/>
      <c r="F1" s="3326"/>
      <c r="G1" s="3326"/>
      <c r="H1" s="3326"/>
      <c r="I1" s="3326"/>
      <c r="J1" s="3326"/>
      <c r="K1" s="3326"/>
      <c r="L1" s="3326"/>
      <c r="M1" s="3326"/>
      <c r="N1" s="3326"/>
      <c r="O1" s="3326"/>
      <c r="P1" s="3327"/>
      <c r="Q1" s="4430" t="s">
        <v>6644</v>
      </c>
      <c r="R1" s="4430"/>
      <c r="S1" s="4430"/>
      <c r="T1" s="4430"/>
      <c r="U1" s="4430"/>
      <c r="V1" s="4430"/>
      <c r="W1" s="1969"/>
      <c r="X1" s="1927"/>
    </row>
    <row r="2" spans="1:25" s="28" customFormat="1" ht="4.3499999999999996" customHeight="1">
      <c r="A2" s="29"/>
      <c r="B2" s="29"/>
      <c r="C2" s="30"/>
      <c r="D2" s="29"/>
      <c r="E2" s="29"/>
      <c r="F2" s="29"/>
      <c r="G2" s="29"/>
      <c r="H2" s="29"/>
      <c r="I2" s="29"/>
      <c r="J2" s="29"/>
      <c r="K2" s="29"/>
      <c r="L2" s="29"/>
      <c r="M2" s="31"/>
      <c r="N2" s="53"/>
      <c r="O2" s="119"/>
      <c r="P2" s="119"/>
      <c r="Q2" s="4430"/>
      <c r="R2" s="4430"/>
      <c r="S2" s="4430"/>
      <c r="T2" s="4430"/>
      <c r="U2" s="4430"/>
      <c r="V2" s="4430"/>
      <c r="W2" s="1969"/>
      <c r="X2" s="1927"/>
    </row>
    <row r="3" spans="1:25" s="35" customFormat="1" ht="12" customHeight="1">
      <c r="A3" s="4481" t="s">
        <v>6658</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9"/>
      <c r="X3" s="1927"/>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3"/>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3" t="s">
        <v>6495</v>
      </c>
      <c r="G12" s="4573"/>
      <c r="H12" s="4573"/>
      <c r="I12" s="4573"/>
      <c r="J12" s="4573"/>
      <c r="K12" s="4573"/>
      <c r="L12" s="4573"/>
      <c r="M12" s="4573"/>
      <c r="N12" s="4573"/>
      <c r="O12" s="1201" t="s">
        <v>3809</v>
      </c>
      <c r="P12" s="1202">
        <f>SUM(P13:P31)</f>
        <v>0</v>
      </c>
      <c r="Q12" s="4429" t="s">
        <v>6544</v>
      </c>
      <c r="R12" s="4429"/>
      <c r="S12" s="4429"/>
      <c r="T12" s="4429"/>
      <c r="U12" s="4429"/>
      <c r="V12" s="1179"/>
    </row>
    <row r="13" spans="1:25" s="35" customFormat="1" ht="10.5" customHeight="1">
      <c r="A13" s="924" t="s">
        <v>1668</v>
      </c>
      <c r="B13" s="921" t="s">
        <v>3393</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4037</v>
      </c>
      <c r="C14" s="866"/>
      <c r="D14" s="925"/>
      <c r="E14" s="1771">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3338</v>
      </c>
      <c r="C15" s="866"/>
      <c r="D15" s="925"/>
      <c r="E15" s="1771">
        <f>$O$152</f>
        <v>0</v>
      </c>
      <c r="F15" s="4449">
        <f>$A$165</f>
        <v>0</v>
      </c>
      <c r="G15" s="4450"/>
      <c r="H15" s="4450"/>
      <c r="I15" s="4450"/>
      <c r="J15" s="4450"/>
      <c r="K15" s="4450"/>
      <c r="L15" s="4450"/>
      <c r="M15" s="4450"/>
      <c r="N15" s="4450"/>
      <c r="O15" s="4451"/>
      <c r="P15" s="1209"/>
      <c r="Q15" s="1975"/>
      <c r="R15" s="1975"/>
      <c r="S15" s="1975"/>
      <c r="T15" s="1975"/>
      <c r="U15" s="1975"/>
    </row>
    <row r="16" spans="1:25" s="35" customFormat="1" ht="10.5" customHeight="1">
      <c r="A16" s="1612" t="s">
        <v>280</v>
      </c>
      <c r="B16" s="751" t="s">
        <v>3394</v>
      </c>
      <c r="C16" s="866"/>
      <c r="D16" s="925"/>
      <c r="E16" s="1197">
        <f>$O$169</f>
        <v>0</v>
      </c>
      <c r="F16" s="4449">
        <f>$A$186</f>
        <v>0</v>
      </c>
      <c r="G16" s="4450"/>
      <c r="H16" s="4450"/>
      <c r="I16" s="4450"/>
      <c r="J16" s="4450"/>
      <c r="K16" s="4450"/>
      <c r="L16" s="4450"/>
      <c r="M16" s="4450"/>
      <c r="N16" s="4450"/>
      <c r="O16" s="4451"/>
      <c r="P16" s="1209"/>
      <c r="Q16" s="1975"/>
      <c r="R16" s="1975"/>
      <c r="S16" s="1975"/>
      <c r="T16" s="1975"/>
      <c r="U16" s="1975"/>
    </row>
    <row r="17" spans="1:35" s="35" customFormat="1" ht="10.5" customHeight="1">
      <c r="A17" s="924" t="s">
        <v>401</v>
      </c>
      <c r="B17" s="931" t="s">
        <v>3395</v>
      </c>
      <c r="C17" s="932"/>
      <c r="D17" s="933"/>
      <c r="E17" s="1198" t="s">
        <v>1610</v>
      </c>
      <c r="F17" s="4513">
        <f>$A$201</f>
        <v>0</v>
      </c>
      <c r="G17" s="4514"/>
      <c r="H17" s="4514"/>
      <c r="I17" s="4514"/>
      <c r="J17" s="4514"/>
      <c r="K17" s="4514"/>
      <c r="L17" s="4514"/>
      <c r="M17" s="4514"/>
      <c r="N17" s="4514"/>
      <c r="O17" s="4515"/>
      <c r="P17" s="1209"/>
      <c r="Q17" s="1975"/>
      <c r="R17" s="1975"/>
      <c r="S17" s="1975"/>
      <c r="T17" s="1975"/>
      <c r="U17" s="1975"/>
    </row>
    <row r="18" spans="1:35" s="35" customFormat="1" ht="10.5" customHeight="1">
      <c r="A18" s="924" t="s">
        <v>342</v>
      </c>
      <c r="B18" s="751" t="s">
        <v>4038</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4040</v>
      </c>
      <c r="B19" s="751" t="s">
        <v>3261</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4052</v>
      </c>
      <c r="B20" s="751" t="s">
        <v>4041</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6242</v>
      </c>
      <c r="B21" s="931" t="s">
        <v>4042</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6636</v>
      </c>
      <c r="B22" s="751" t="s">
        <v>6548</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6638</v>
      </c>
      <c r="B23" s="751" t="s">
        <v>6637</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2" t="s">
        <v>3368</v>
      </c>
      <c r="B24" s="1887" t="s">
        <v>6554</v>
      </c>
      <c r="C24" s="1888"/>
      <c r="D24" s="1889"/>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3372</v>
      </c>
      <c r="B25" s="751" t="s">
        <v>3396</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3375</v>
      </c>
      <c r="B26" s="751" t="s">
        <v>3397</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3376</v>
      </c>
      <c r="B27" s="751" t="s">
        <v>3398</v>
      </c>
      <c r="C27" s="866"/>
      <c r="D27" s="925"/>
      <c r="E27" s="1198">
        <f>$O$378</f>
        <v>0</v>
      </c>
      <c r="F27" s="4449">
        <f>$A$393</f>
        <v>0</v>
      </c>
      <c r="G27" s="4450"/>
      <c r="H27" s="4450"/>
      <c r="I27" s="4450"/>
      <c r="J27" s="4450"/>
      <c r="K27" s="4450"/>
      <c r="L27" s="4450"/>
      <c r="M27" s="4450"/>
      <c r="N27" s="4450"/>
      <c r="O27" s="4451"/>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4">
        <f>$A$414</f>
        <v>0</v>
      </c>
      <c r="G28" s="4465"/>
      <c r="H28" s="4465"/>
      <c r="I28" s="4465"/>
      <c r="J28" s="4465"/>
      <c r="K28" s="4465"/>
      <c r="L28" s="4465"/>
      <c r="M28" s="4465"/>
      <c r="N28" s="4465"/>
      <c r="O28" s="4466"/>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9">
        <f>$A$420</f>
        <v>0</v>
      </c>
      <c r="G29" s="4450"/>
      <c r="H29" s="4450"/>
      <c r="I29" s="4450"/>
      <c r="J29" s="4450"/>
      <c r="K29" s="4450"/>
      <c r="L29" s="4450"/>
      <c r="M29" s="4450"/>
      <c r="N29" s="4450"/>
      <c r="O29" s="4451"/>
      <c r="P29" s="1209"/>
      <c r="Q29" s="1964"/>
      <c r="R29" s="1628"/>
      <c r="S29" s="1628"/>
    </row>
    <row r="30" spans="1:35" s="35" customFormat="1" ht="10.5" customHeight="1">
      <c r="A30" s="924" t="s">
        <v>3802</v>
      </c>
      <c r="B30" s="751" t="s">
        <v>6552</v>
      </c>
      <c r="C30" s="866"/>
      <c r="D30" s="925"/>
      <c r="E30" s="1196">
        <f>$O$428</f>
        <v>0</v>
      </c>
      <c r="F30" s="4449">
        <f>$A$430</f>
        <v>0</v>
      </c>
      <c r="G30" s="4450"/>
      <c r="H30" s="4450"/>
      <c r="I30" s="4450"/>
      <c r="J30" s="4450"/>
      <c r="K30" s="4450"/>
      <c r="L30" s="4450"/>
      <c r="M30" s="4450"/>
      <c r="N30" s="4450"/>
      <c r="O30" s="4451"/>
      <c r="P30" s="1209"/>
      <c r="Q30" s="1964"/>
      <c r="R30" s="1628"/>
      <c r="S30" s="1628"/>
      <c r="AA30" s="3593" t="s">
        <v>6562</v>
      </c>
      <c r="AB30" s="3593"/>
      <c r="AC30" s="3593"/>
      <c r="AD30" s="3593"/>
      <c r="AE30" s="3593"/>
      <c r="AF30" s="3593"/>
    </row>
    <row r="31" spans="1:35" s="35" customFormat="1" ht="10.5" customHeight="1">
      <c r="A31" s="926" t="s">
        <v>6555</v>
      </c>
      <c r="B31" s="927" t="s">
        <v>6553</v>
      </c>
      <c r="C31" s="928"/>
      <c r="D31" s="929"/>
      <c r="E31" s="1624">
        <f>$O$434</f>
        <v>0</v>
      </c>
      <c r="F31" s="4464">
        <f>$A$438</f>
        <v>0</v>
      </c>
      <c r="G31" s="4465"/>
      <c r="H31" s="4465"/>
      <c r="I31" s="4465"/>
      <c r="J31" s="4465"/>
      <c r="K31" s="4465"/>
      <c r="L31" s="4465"/>
      <c r="M31" s="4465"/>
      <c r="N31" s="4465"/>
      <c r="O31" s="4466"/>
      <c r="P31" s="1210"/>
      <c r="Q31" s="1964"/>
      <c r="R31" s="1628"/>
      <c r="S31" s="1628"/>
      <c r="X31" s="3593" t="s">
        <v>6563</v>
      </c>
      <c r="Y31" s="3593"/>
      <c r="Z31" s="3593"/>
      <c r="AA31" s="3593"/>
      <c r="AB31" s="3593"/>
      <c r="AC31" s="3593"/>
      <c r="AD31" s="3593" t="s">
        <v>6564</v>
      </c>
      <c r="AE31" s="3593"/>
      <c r="AF31" s="3593"/>
      <c r="AG31" s="3593"/>
      <c r="AH31" s="3593"/>
      <c r="AI31" s="3593"/>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6" t="s">
        <v>6124</v>
      </c>
      <c r="H33" s="4516"/>
      <c r="I33" s="4510" t="s">
        <v>6505</v>
      </c>
      <c r="J33" s="4511"/>
      <c r="K33" s="4511"/>
      <c r="L33" s="4512"/>
      <c r="M33" s="4577" t="s">
        <v>6137</v>
      </c>
      <c r="N33" s="4577"/>
      <c r="O33" s="4577"/>
      <c r="P33" s="4577"/>
      <c r="Q33" s="436"/>
      <c r="R33" s="436"/>
      <c r="S33" s="83" t="s">
        <v>6136</v>
      </c>
      <c r="T33" s="436"/>
      <c r="U33" s="436"/>
      <c r="V33" s="436"/>
      <c r="X33" s="4496" t="s">
        <v>6124</v>
      </c>
      <c r="Y33" s="4498"/>
      <c r="Z33" s="4496" t="s">
        <v>6505</v>
      </c>
      <c r="AA33" s="4497"/>
      <c r="AB33" s="4497"/>
      <c r="AC33" s="4498"/>
      <c r="AD33" s="4505" t="s">
        <v>6124</v>
      </c>
      <c r="AE33" s="4506"/>
      <c r="AF33" s="4507" t="s">
        <v>6505</v>
      </c>
      <c r="AG33" s="4505"/>
      <c r="AH33" s="4505"/>
      <c r="AI33" s="4506"/>
    </row>
    <row r="34" spans="1:46" s="115" customFormat="1" ht="11.25" customHeight="1">
      <c r="A34" s="44"/>
      <c r="B34" s="29"/>
      <c r="C34" s="44"/>
      <c r="D34" s="44"/>
      <c r="E34" s="44"/>
      <c r="F34" s="44"/>
      <c r="G34" s="1723">
        <v>0.09</v>
      </c>
      <c r="H34" s="1723">
        <v>0.04</v>
      </c>
      <c r="I34" s="1723">
        <v>0.04</v>
      </c>
      <c r="J34" s="1723" t="s">
        <v>6545</v>
      </c>
      <c r="K34" s="1723" t="s">
        <v>6546</v>
      </c>
      <c r="L34" s="1723" t="s">
        <v>6547</v>
      </c>
      <c r="M34" s="4499" t="str">
        <f>'Part I-Project Identification'!F12</f>
        <v>9% Credit Competitive Round only</v>
      </c>
      <c r="N34" s="4500"/>
      <c r="O34" s="4500"/>
      <c r="P34" s="4501"/>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8" t="s">
        <v>6561</v>
      </c>
      <c r="N40" s="4579"/>
      <c r="O40" s="4579"/>
      <c r="P40" s="4579"/>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8"/>
      <c r="N41" s="4579"/>
      <c r="O41" s="4579"/>
      <c r="P41" s="4579"/>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2" t="s">
        <v>6736</v>
      </c>
      <c r="N52" s="4713"/>
      <c r="O52" s="4713"/>
      <c r="P52" s="4713"/>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2"/>
      <c r="N53" s="4713"/>
      <c r="O53" s="4713"/>
      <c r="P53" s="4713"/>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4"/>
      <c r="N54" s="4715"/>
      <c r="O54" s="4715"/>
      <c r="P54" s="4715"/>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80" t="s">
        <v>6711</v>
      </c>
      <c r="N55" s="4581"/>
      <c r="O55" s="4581"/>
      <c r="P55" s="4582"/>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3"/>
      <c r="N56" s="4584"/>
      <c r="O56" s="4584"/>
      <c r="P56" s="4585"/>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8" t="s">
        <v>6139</v>
      </c>
      <c r="N58" s="4579"/>
      <c r="O58" s="4579"/>
      <c r="P58" s="4579"/>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10"/>
      <c r="N59" s="4711"/>
      <c r="O59" s="4711"/>
      <c r="P59" s="4711"/>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1" t="s">
        <v>6712</v>
      </c>
      <c r="N60" s="4442"/>
      <c r="O60" s="4442"/>
      <c r="P60" s="4443"/>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4"/>
      <c r="N61" s="4445"/>
      <c r="O61" s="4445"/>
      <c r="P61" s="4446"/>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7" t="s">
        <v>6072</v>
      </c>
      <c r="B74" s="4407"/>
      <c r="C74" s="4407"/>
      <c r="D74" s="4407"/>
      <c r="E74" s="4407"/>
      <c r="F74" s="1176" t="s">
        <v>3390</v>
      </c>
      <c r="G74" s="4565" t="s">
        <v>6074</v>
      </c>
      <c r="H74" s="4565"/>
      <c r="I74" s="4565"/>
      <c r="J74" s="1176" t="s">
        <v>3390</v>
      </c>
      <c r="K74" s="4569" t="s">
        <v>6073</v>
      </c>
      <c r="L74" s="4569"/>
      <c r="M74" s="4569"/>
      <c r="N74" s="4569"/>
      <c r="O74" s="4563" t="s">
        <v>3390</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3808</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3144</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3145</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3146</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3147</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7" t="s">
        <v>3811</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57.954545454545453</v>
      </c>
      <c r="L94" s="4656"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6"/>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7" t="s">
        <v>3815</v>
      </c>
      <c r="I97" s="4458"/>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7" t="s">
        <v>4043</v>
      </c>
      <c r="J106" s="4478"/>
      <c r="K106" s="4478"/>
      <c r="L106" s="4479"/>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80"/>
      <c r="J107" s="4481"/>
      <c r="K107" s="4481"/>
      <c r="L107" s="4482"/>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9" t="s">
        <v>3215</v>
      </c>
      <c r="G123" s="4539"/>
      <c r="H123" s="4539"/>
      <c r="I123" s="4539"/>
      <c r="J123" s="4539" t="s">
        <v>3216</v>
      </c>
      <c r="K123" s="4539"/>
      <c r="L123" s="4539"/>
      <c r="M123" s="4539"/>
      <c r="N123" s="48"/>
      <c r="O123" s="4540" t="s">
        <v>3884</v>
      </c>
      <c r="P123" s="4541"/>
      <c r="Q123" s="86"/>
      <c r="R123" s="879"/>
      <c r="S123" s="879"/>
      <c r="T123" s="879"/>
      <c r="U123" s="879"/>
    </row>
    <row r="124" spans="1:21" s="36" customFormat="1" ht="12" customHeight="1">
      <c r="B124" s="1839"/>
      <c r="C124" s="1182" t="s">
        <v>6570</v>
      </c>
      <c r="E124" s="223"/>
      <c r="F124" s="4490"/>
      <c r="G124" s="4491"/>
      <c r="H124" s="4455"/>
      <c r="I124" s="4456"/>
      <c r="J124" s="4490"/>
      <c r="K124" s="4491"/>
      <c r="L124" s="4455"/>
      <c r="M124" s="4456"/>
      <c r="N124" s="48"/>
      <c r="Q124" s="86"/>
      <c r="R124" s="879"/>
      <c r="S124" s="879"/>
      <c r="T124" s="879"/>
      <c r="U124" s="879"/>
    </row>
    <row r="125" spans="1:21" s="36" customFormat="1" ht="12" customHeight="1">
      <c r="A125" s="1839"/>
      <c r="B125" s="1839"/>
      <c r="C125" s="1839"/>
      <c r="D125" s="236"/>
      <c r="E125" s="1838" t="s">
        <v>6146</v>
      </c>
      <c r="F125" s="4657"/>
      <c r="G125" s="4658"/>
      <c r="H125" s="4664"/>
      <c r="I125" s="4665"/>
      <c r="J125" s="4657"/>
      <c r="K125" s="4658"/>
      <c r="L125" s="4664"/>
      <c r="M125" s="4665"/>
      <c r="N125" s="48"/>
      <c r="O125" s="1292"/>
      <c r="P125" s="916"/>
      <c r="Q125" s="86"/>
      <c r="R125" s="879"/>
      <c r="S125" s="879"/>
      <c r="T125" s="879"/>
      <c r="U125" s="879"/>
    </row>
    <row r="126" spans="1:21" s="36" customFormat="1" ht="12" customHeight="1">
      <c r="A126" s="4670" t="s">
        <v>6679</v>
      </c>
      <c r="B126" s="4670"/>
      <c r="C126" s="1182" t="s">
        <v>6569</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8" t="s">
        <v>3365</v>
      </c>
      <c r="F127" s="4536"/>
      <c r="G127" s="4537"/>
      <c r="H127" s="4662"/>
      <c r="I127" s="4663"/>
      <c r="J127" s="4536"/>
      <c r="K127" s="4537"/>
      <c r="L127" s="4662"/>
      <c r="M127" s="466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8" t="s">
        <v>6677</v>
      </c>
      <c r="D133" s="4538"/>
      <c r="E133" s="4538"/>
      <c r="F133" s="4538"/>
      <c r="G133" s="4538"/>
      <c r="H133" s="4538"/>
      <c r="I133" s="4538"/>
      <c r="J133" s="4538"/>
      <c r="K133" s="4538"/>
      <c r="L133" s="4538"/>
      <c r="M133" s="1848">
        <v>6</v>
      </c>
      <c r="N133" s="374" t="s">
        <v>1844</v>
      </c>
      <c r="O133" s="1910"/>
      <c r="P133" s="1911"/>
      <c r="Q133" s="1212"/>
      <c r="R133" s="795" t="s">
        <v>4058</v>
      </c>
    </row>
    <row r="134" spans="1:21" s="332" customFormat="1" ht="12" customHeight="1">
      <c r="A134" s="456" t="s">
        <v>1275</v>
      </c>
      <c r="B134" s="350" t="s">
        <v>1846</v>
      </c>
      <c r="C134" s="3578" t="s">
        <v>6678</v>
      </c>
      <c r="D134" s="3578"/>
      <c r="E134" s="3578"/>
      <c r="F134" s="3578"/>
      <c r="G134" s="866"/>
      <c r="J134" s="4542" t="s">
        <v>6674</v>
      </c>
      <c r="K134" s="4543"/>
      <c r="L134" s="4544"/>
      <c r="M134" s="458">
        <v>5</v>
      </c>
      <c r="N134" s="348" t="s">
        <v>1846</v>
      </c>
      <c r="O134" s="1923"/>
      <c r="P134" s="1924"/>
      <c r="Q134" s="1810" t="s">
        <v>6670</v>
      </c>
      <c r="R134" s="1176" t="s">
        <v>6263</v>
      </c>
      <c r="S134" s="1176" t="s">
        <v>6144</v>
      </c>
    </row>
    <row r="135" spans="1:21" s="332" customFormat="1" ht="12" customHeight="1">
      <c r="B135" s="350"/>
      <c r="C135" s="3578"/>
      <c r="D135" s="3578"/>
      <c r="E135" s="3578"/>
      <c r="F135" s="3578"/>
      <c r="G135" s="866"/>
      <c r="H135" s="3370" t="s">
        <v>6672</v>
      </c>
      <c r="I135" s="3370"/>
      <c r="J135" s="4545"/>
      <c r="K135" s="4546"/>
      <c r="L135" s="4547"/>
      <c r="M135" s="4260" t="str">
        <f>IF(AND(O134&gt;0,O133&gt;0),"Pick A1 or A2!","")</f>
        <v/>
      </c>
      <c r="N135" s="4260"/>
      <c r="O135" s="4260"/>
      <c r="P135" s="4260"/>
      <c r="Q135" s="798"/>
      <c r="R135" s="1549">
        <v>0.25</v>
      </c>
      <c r="S135" s="1549">
        <v>5</v>
      </c>
    </row>
    <row r="136" spans="1:21" s="332" customFormat="1" ht="12" customHeight="1">
      <c r="B136" s="350"/>
      <c r="C136" s="3578"/>
      <c r="D136" s="3578"/>
      <c r="E136" s="3578"/>
      <c r="F136" s="3578"/>
      <c r="G136" s="866"/>
      <c r="H136" s="1769"/>
      <c r="I136" s="1904"/>
      <c r="J136" s="4545"/>
      <c r="K136" s="4546"/>
      <c r="L136" s="4547"/>
      <c r="Q136" s="798"/>
      <c r="R136" s="1549">
        <v>0.5</v>
      </c>
      <c r="S136" s="1549">
        <v>4.5</v>
      </c>
    </row>
    <row r="137" spans="1:21" s="332" customFormat="1" ht="12" customHeight="1">
      <c r="B137" s="350"/>
      <c r="C137" s="3578"/>
      <c r="D137" s="3578"/>
      <c r="E137" s="3578"/>
      <c r="F137" s="3578"/>
      <c r="G137" s="866"/>
      <c r="J137" s="4545"/>
      <c r="K137" s="4546"/>
      <c r="L137" s="4547"/>
      <c r="M137" s="70"/>
      <c r="N137" s="70"/>
      <c r="O137" s="70"/>
      <c r="P137" s="70"/>
      <c r="Q137" s="397"/>
      <c r="R137" s="1550">
        <v>1</v>
      </c>
      <c r="S137" s="1550">
        <v>4</v>
      </c>
    </row>
    <row r="138" spans="1:21" s="332" customFormat="1" ht="12" customHeight="1">
      <c r="A138" s="112" t="s">
        <v>1843</v>
      </c>
      <c r="B138" s="897" t="s">
        <v>3238</v>
      </c>
      <c r="C138" s="503"/>
      <c r="D138" s="503"/>
      <c r="F138" s="1902" t="s">
        <v>6669</v>
      </c>
      <c r="J138" s="4467" t="s">
        <v>3235</v>
      </c>
      <c r="K138" s="4468"/>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8" t="s">
        <v>6684</v>
      </c>
      <c r="D139" s="3578"/>
      <c r="E139" s="3578"/>
      <c r="F139" s="3578"/>
      <c r="G139" s="866"/>
      <c r="H139" s="3370" t="s">
        <v>6673</v>
      </c>
      <c r="I139" s="3370"/>
      <c r="J139" s="4469" t="s">
        <v>6689</v>
      </c>
      <c r="K139" s="4470"/>
      <c r="L139" s="4471"/>
      <c r="M139" s="458">
        <v>3</v>
      </c>
      <c r="N139" s="348" t="s">
        <v>1844</v>
      </c>
      <c r="O139" s="4705"/>
      <c r="P139" s="4708"/>
      <c r="Q139" s="798" t="str">
        <f>IF(OR($O141=$M141,$O141=0,$O141=""),"","*CHECK!*")</f>
        <v/>
      </c>
      <c r="R139" s="1549">
        <v>0.5</v>
      </c>
      <c r="S139" s="1549">
        <v>2</v>
      </c>
      <c r="U139" s="332"/>
    </row>
    <row r="140" spans="1:21" s="36" customFormat="1" ht="12" customHeight="1">
      <c r="A140" s="120"/>
      <c r="B140" s="891"/>
      <c r="C140" s="3578"/>
      <c r="D140" s="3578"/>
      <c r="E140" s="3578"/>
      <c r="F140" s="3578"/>
      <c r="G140" s="70"/>
      <c r="H140" s="1769"/>
      <c r="I140" s="1904"/>
      <c r="J140" s="4692" t="s">
        <v>6565</v>
      </c>
      <c r="K140" s="4693"/>
      <c r="L140" s="4694"/>
      <c r="M140" s="70"/>
      <c r="O140" s="4706"/>
      <c r="P140" s="4709"/>
      <c r="Q140" s="86"/>
      <c r="R140" s="1550">
        <v>1</v>
      </c>
      <c r="S140" s="1550">
        <v>1</v>
      </c>
      <c r="U140" s="332"/>
    </row>
    <row r="141" spans="1:21" s="36" customFormat="1" ht="11.25" customHeight="1">
      <c r="A141" s="456" t="s">
        <v>1275</v>
      </c>
      <c r="B141" s="1632" t="s">
        <v>1846</v>
      </c>
      <c r="C141" s="3578" t="s">
        <v>6676</v>
      </c>
      <c r="D141" s="3578"/>
      <c r="E141" s="3578"/>
      <c r="F141" s="3578"/>
      <c r="G141" s="3578"/>
      <c r="H141" s="3578"/>
      <c r="I141" s="1903"/>
      <c r="J141" s="4695"/>
      <c r="K141" s="4696"/>
      <c r="L141" s="4697"/>
      <c r="M141" s="458">
        <v>1</v>
      </c>
      <c r="N141" s="348" t="s">
        <v>1846</v>
      </c>
      <c r="O141" s="4492"/>
      <c r="P141" s="4669"/>
      <c r="U141" s="332"/>
    </row>
    <row r="142" spans="1:21" s="36" customFormat="1" ht="11.25" customHeight="1">
      <c r="B142" s="1906"/>
      <c r="C142" s="3578"/>
      <c r="D142" s="3578"/>
      <c r="E142" s="3578"/>
      <c r="F142" s="3578"/>
      <c r="G142" s="3578"/>
      <c r="H142" s="3578"/>
      <c r="I142" s="1903"/>
      <c r="J142" s="4698"/>
      <c r="K142" s="4699"/>
      <c r="L142" s="4700"/>
      <c r="O142" s="4492"/>
      <c r="P142" s="4669"/>
      <c r="T142" s="332"/>
      <c r="U142" s="332"/>
    </row>
    <row r="143" spans="1:21" s="332" customFormat="1" ht="12" customHeight="1">
      <c r="A143" s="1631" t="s">
        <v>1275</v>
      </c>
      <c r="B143" s="1632" t="s">
        <v>2332</v>
      </c>
      <c r="C143" s="3578" t="s">
        <v>6675</v>
      </c>
      <c r="D143" s="3578"/>
      <c r="E143" s="3578"/>
      <c r="F143" s="3578"/>
      <c r="G143" s="3578"/>
      <c r="H143" s="3578"/>
      <c r="I143" s="4704"/>
      <c r="J143" s="4692" t="s">
        <v>6566</v>
      </c>
      <c r="K143" s="4693"/>
      <c r="L143" s="4694"/>
      <c r="M143" s="1848">
        <v>2</v>
      </c>
      <c r="N143" s="374" t="s">
        <v>2332</v>
      </c>
      <c r="O143" s="4667"/>
      <c r="P143" s="4488"/>
      <c r="Q143" s="798"/>
      <c r="R143" s="795"/>
    </row>
    <row r="144" spans="1:21" s="36" customFormat="1" ht="36.75" customHeight="1">
      <c r="C144" s="3578"/>
      <c r="D144" s="3578"/>
      <c r="E144" s="3578"/>
      <c r="F144" s="3578"/>
      <c r="G144" s="3578"/>
      <c r="H144" s="3578"/>
      <c r="I144" s="4704"/>
      <c r="J144" s="4701"/>
      <c r="K144" s="4702"/>
      <c r="L144" s="4703"/>
      <c r="O144" s="4668"/>
      <c r="P144" s="4489"/>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9" t="s">
        <v>6889</v>
      </c>
      <c r="K154" s="4690"/>
      <c r="L154" s="4690"/>
      <c r="M154" s="4691"/>
      <c r="N154"/>
      <c r="O154"/>
      <c r="P154"/>
    </row>
    <row r="155" spans="1:19" ht="12.75" customHeight="1">
      <c r="B155" s="430"/>
      <c r="C155" s="430"/>
      <c r="D155" s="430"/>
      <c r="F155" s="4203" t="s">
        <v>6627</v>
      </c>
      <c r="G155" s="4203"/>
      <c r="H155" s="4203" t="s">
        <v>6269</v>
      </c>
      <c r="I155" s="4203"/>
      <c r="J155" s="4677" t="s">
        <v>6628</v>
      </c>
      <c r="K155" s="4678"/>
      <c r="L155" s="4680" t="s">
        <v>6888</v>
      </c>
      <c r="M155" s="4681"/>
      <c r="N155" s="44"/>
      <c r="O155" s="1866"/>
      <c r="P155" s="1867"/>
    </row>
    <row r="156" spans="1:19" ht="30.75" customHeight="1">
      <c r="B156" s="430"/>
      <c r="C156" s="430"/>
      <c r="D156" s="430"/>
      <c r="F156" s="4203"/>
      <c r="G156" s="4203"/>
      <c r="H156" s="4203"/>
      <c r="I156" s="4203"/>
      <c r="J156" s="4679"/>
      <c r="K156" s="4678"/>
      <c r="L156" s="4203"/>
      <c r="M156" s="4682"/>
      <c r="N156" s="44"/>
      <c r="O156" s="1868"/>
      <c r="P156" s="1867"/>
    </row>
    <row r="157" spans="1:19" ht="12" customHeight="1">
      <c r="B157" s="81" t="s">
        <v>6629</v>
      </c>
      <c r="C157" s="889"/>
      <c r="D157" s="36"/>
      <c r="F157" s="4325"/>
      <c r="G157" s="4325"/>
      <c r="H157" s="4325"/>
      <c r="I157" s="4325"/>
      <c r="J157" s="4679"/>
      <c r="K157" s="4678"/>
      <c r="L157" s="4325"/>
      <c r="M157" s="4683"/>
      <c r="N157" s="44"/>
      <c r="O157" s="1868"/>
      <c r="P157" s="1867"/>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5" t="s">
        <v>6680</v>
      </c>
      <c r="D173" s="4195"/>
      <c r="E173" s="4195"/>
      <c r="F173" s="4195"/>
      <c r="G173" s="4195"/>
      <c r="H173" s="4195"/>
      <c r="I173" s="4195"/>
      <c r="J173" s="4195"/>
      <c r="K173" s="4195"/>
      <c r="L173" s="128"/>
      <c r="M173" s="4661" t="s">
        <v>6090</v>
      </c>
      <c r="N173" s="4661"/>
      <c r="O173" s="4661"/>
      <c r="P173" s="4661"/>
      <c r="S173" s="1628"/>
      <c r="T173" s="1628"/>
      <c r="U173" s="1628"/>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3286</v>
      </c>
      <c r="N174" s="4654"/>
      <c r="O174" s="4654"/>
      <c r="P174" s="4655"/>
      <c r="S174" s="1628"/>
      <c r="T174" s="1628"/>
      <c r="U174" s="1628"/>
    </row>
    <row r="175" spans="1:26" s="26" customFormat="1" ht="12.75" customHeight="1">
      <c r="B175" s="49" t="s">
        <v>2241</v>
      </c>
      <c r="C175" s="29" t="s">
        <v>3956</v>
      </c>
      <c r="D175" s="29"/>
      <c r="E175" s="29"/>
      <c r="F175" s="29"/>
      <c r="G175" s="29"/>
      <c r="H175" s="29"/>
      <c r="L175" s="49" t="s">
        <v>2241</v>
      </c>
      <c r="M175" s="4469" t="s">
        <v>3286</v>
      </c>
      <c r="N175" s="4470"/>
      <c r="O175" s="4470"/>
      <c r="P175" s="4471"/>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9" t="s">
        <v>3286</v>
      </c>
      <c r="N176" s="4470"/>
      <c r="O176" s="4470"/>
      <c r="P176" s="447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8" t="s">
        <v>3286</v>
      </c>
      <c r="N177" s="4609"/>
      <c r="O177" s="4609"/>
      <c r="P177" s="461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5" t="s">
        <v>6178</v>
      </c>
      <c r="D180" s="4195"/>
      <c r="E180" s="4195"/>
      <c r="F180" s="4195"/>
      <c r="G180" s="4195"/>
      <c r="H180" s="4195"/>
      <c r="I180" s="4195"/>
      <c r="J180" s="4195"/>
      <c r="K180" s="4195"/>
      <c r="L180" s="4195"/>
      <c r="M180" s="1848">
        <v>1</v>
      </c>
      <c r="N180" s="128" t="s">
        <v>4076</v>
      </c>
      <c r="O180" s="1636"/>
      <c r="P180" s="1640"/>
      <c r="Q180" s="1212"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9"/>
      <c r="W198" s="1599"/>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2" t="s">
        <v>3204</v>
      </c>
      <c r="K208" s="4633"/>
      <c r="L208" s="4634"/>
      <c r="M208" s="4635"/>
      <c r="N208" s="53"/>
      <c r="R208" s="86"/>
      <c r="S208" s="70"/>
    </row>
    <row r="209" spans="1:27" ht="12.75" customHeight="1">
      <c r="C209" s="685" t="s">
        <v>6255</v>
      </c>
      <c r="D209" s="44"/>
      <c r="J209" s="4605"/>
      <c r="K209" s="4606"/>
      <c r="L209" s="4606"/>
      <c r="M209" s="460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7" t="s">
        <v>6218</v>
      </c>
      <c r="F212" s="4437"/>
      <c r="G212" s="4437"/>
      <c r="H212" s="4437"/>
      <c r="I212" s="1203" t="s">
        <v>6245</v>
      </c>
      <c r="J212" s="4437" t="s">
        <v>6218</v>
      </c>
      <c r="K212" s="4437"/>
      <c r="L212" s="4437"/>
      <c r="M212" s="4437"/>
      <c r="N212"/>
      <c r="O212"/>
      <c r="P212"/>
    </row>
    <row r="213" spans="1:27" ht="13.5" customHeight="1">
      <c r="B213" s="400"/>
      <c r="C213" s="29" t="s">
        <v>6216</v>
      </c>
      <c r="E213" s="4438"/>
      <c r="F213" s="4439"/>
      <c r="G213" s="4439"/>
      <c r="H213" s="4440"/>
      <c r="I213" s="1869" t="s">
        <v>906</v>
      </c>
      <c r="J213" s="4602"/>
      <c r="K213" s="4603"/>
      <c r="L213" s="4603"/>
      <c r="M213" s="4604"/>
      <c r="N213"/>
      <c r="Q213" s="24"/>
      <c r="R213" s="24"/>
      <c r="S213" s="24"/>
      <c r="T213" s="24"/>
      <c r="U213" s="24"/>
      <c r="V213" s="24"/>
      <c r="W213" s="24"/>
      <c r="X213" s="24"/>
      <c r="Y213" s="24"/>
      <c r="Z213" s="24"/>
      <c r="AA213" s="1870"/>
    </row>
    <row r="214" spans="1:27" ht="13.5" customHeight="1">
      <c r="C214" s="29" t="s">
        <v>6217</v>
      </c>
      <c r="E214" s="4550"/>
      <c r="F214" s="4551"/>
      <c r="G214" s="4551"/>
      <c r="H214" s="4552"/>
      <c r="I214" s="1908"/>
      <c r="J214" s="4431"/>
      <c r="K214" s="4432"/>
      <c r="L214" s="4432"/>
      <c r="M214" s="4433"/>
      <c r="N214" s="1212" t="str">
        <f>IF(P211&lt;=N211,"","*CHECK!*")</f>
        <v/>
      </c>
      <c r="Q214" s="24"/>
      <c r="R214" s="24"/>
      <c r="S214" s="24"/>
      <c r="T214" s="24"/>
      <c r="U214" s="24"/>
      <c r="V214" s="24"/>
      <c r="W214" s="24"/>
      <c r="X214" s="24"/>
      <c r="Y214" s="24"/>
      <c r="Z214" s="24"/>
      <c r="AA214" s="1870"/>
    </row>
    <row r="215" spans="1:27" ht="13.5" customHeight="1">
      <c r="B215" s="400"/>
      <c r="C215" s="29" t="s">
        <v>6214</v>
      </c>
      <c r="E215" s="4550"/>
      <c r="F215" s="4551"/>
      <c r="G215" s="4551"/>
      <c r="H215" s="4552"/>
      <c r="I215" s="1908"/>
      <c r="J215" s="4431"/>
      <c r="K215" s="4432"/>
      <c r="L215" s="4432"/>
      <c r="M215" s="4433"/>
      <c r="N215"/>
      <c r="Q215" s="24"/>
      <c r="R215" s="24"/>
      <c r="S215" s="24"/>
      <c r="T215" s="24"/>
      <c r="U215" s="24"/>
      <c r="V215" s="24"/>
      <c r="W215" s="24"/>
      <c r="X215" s="24"/>
      <c r="Y215" s="24"/>
      <c r="Z215" s="24"/>
      <c r="AA215" s="1870"/>
    </row>
    <row r="216" spans="1:27" ht="13.5" customHeight="1">
      <c r="B216" s="44"/>
      <c r="C216" s="29" t="s">
        <v>6215</v>
      </c>
      <c r="E216" s="4593"/>
      <c r="F216" s="4594"/>
      <c r="G216" s="4594"/>
      <c r="H216" s="4595"/>
      <c r="I216" s="1909"/>
      <c r="J216" s="4599"/>
      <c r="K216" s="4600"/>
      <c r="L216" s="4600"/>
      <c r="M216" s="460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7" t="str">
        <f>'Part V-Revenues &amp; Expenses'!$O$53</f>
        <v>Income Averaging</v>
      </c>
      <c r="L226" s="4598"/>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1"/>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2"/>
      <c r="J244" s="4462"/>
      <c r="L244" s="1662" t="s">
        <v>6259</v>
      </c>
      <c r="M244" s="4463"/>
      <c r="N244" s="4463"/>
    </row>
    <row r="245" spans="1:27" s="32" customFormat="1" ht="11.25" customHeight="1">
      <c r="A245" s="306"/>
      <c r="B245" s="350" t="s">
        <v>1846</v>
      </c>
      <c r="C245" s="29" t="s">
        <v>6258</v>
      </c>
      <c r="E245" s="33" t="s">
        <v>3309</v>
      </c>
      <c r="G245" s="1644"/>
      <c r="H245" s="48" t="s">
        <v>574</v>
      </c>
      <c r="I245" s="4592"/>
      <c r="J245" s="4592"/>
      <c r="L245" s="1662" t="s">
        <v>6259</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6615</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1"/>
      <c r="J287" s="4642"/>
      <c r="K287" s="4643"/>
      <c r="L287" s="4644"/>
      <c r="M287" s="456"/>
      <c r="O287" s="1919"/>
      <c r="P287" s="1920"/>
      <c r="Q287" s="86"/>
      <c r="R287" s="1630"/>
      <c r="S287" s="1630"/>
      <c r="T287" s="1630"/>
      <c r="U287" s="1630"/>
      <c r="V287" s="1630"/>
      <c r="W287" s="36"/>
      <c r="X287" s="36"/>
    </row>
    <row r="288" spans="1:24" s="70" customFormat="1" ht="11.25" customHeight="1">
      <c r="A288" s="120"/>
      <c r="C288" s="29" t="s">
        <v>6691</v>
      </c>
      <c r="G288" s="147"/>
      <c r="I288" s="4645"/>
      <c r="J288" s="4646"/>
      <c r="M288" s="456"/>
      <c r="O288" s="1919"/>
      <c r="P288" s="1920"/>
      <c r="Q288" s="86"/>
      <c r="R288" s="1630"/>
      <c r="S288" s="1630"/>
      <c r="T288" s="1630"/>
      <c r="U288" s="1630"/>
      <c r="V288" s="1630"/>
      <c r="W288" s="36"/>
      <c r="X288" s="36"/>
    </row>
    <row r="289" spans="1:24" s="70" customFormat="1" ht="11.25" customHeight="1">
      <c r="A289" s="120"/>
      <c r="C289" s="29" t="s">
        <v>6693</v>
      </c>
      <c r="G289" s="147"/>
      <c r="I289" s="4647" t="s">
        <v>6694</v>
      </c>
      <c r="J289" s="4648"/>
      <c r="K289" s="4649"/>
      <c r="L289" s="4650"/>
      <c r="M289" s="456"/>
      <c r="O289" s="4651" t="s">
        <v>3149</v>
      </c>
      <c r="P289" s="4651" t="s">
        <v>3150</v>
      </c>
      <c r="Q289" s="86"/>
      <c r="R289" s="1630"/>
      <c r="S289" s="1630"/>
      <c r="T289" s="1630"/>
      <c r="U289" s="1630"/>
      <c r="V289" s="1630"/>
      <c r="W289" s="36"/>
      <c r="X289" s="36"/>
    </row>
    <row r="290" spans="1:24" s="36" customFormat="1" ht="11.25" customHeight="1">
      <c r="A290" s="120"/>
      <c r="B290" s="29" t="s">
        <v>6581</v>
      </c>
      <c r="D290" s="34"/>
      <c r="H290" s="141"/>
      <c r="M290" s="119"/>
      <c r="N290" s="48"/>
      <c r="O290" s="4652"/>
      <c r="P290" s="4652"/>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5" t="s">
        <v>6587</v>
      </c>
      <c r="D296" s="4195"/>
      <c r="E296" s="4195"/>
      <c r="F296" s="4195"/>
      <c r="G296" s="4195"/>
      <c r="H296" s="4195"/>
      <c r="I296" s="4195"/>
      <c r="J296" s="4195"/>
      <c r="K296" s="4195"/>
      <c r="L296" s="4195"/>
      <c r="M296" s="4195"/>
      <c r="N296" s="150" t="s">
        <v>1844</v>
      </c>
      <c r="O296" s="1287"/>
      <c r="P296" s="1288"/>
      <c r="Q296" s="331"/>
      <c r="R296" s="1840"/>
      <c r="S296" s="1840"/>
      <c r="T296" s="1840"/>
      <c r="U296" s="1840"/>
    </row>
    <row r="297" spans="1:24" s="332" customFormat="1" ht="21.75" customHeight="1" thickBot="1">
      <c r="A297" s="1608"/>
      <c r="B297" s="350" t="s">
        <v>1846</v>
      </c>
      <c r="C297" s="4195" t="s">
        <v>6588</v>
      </c>
      <c r="D297" s="4195"/>
      <c r="E297" s="4195"/>
      <c r="F297" s="4195"/>
      <c r="G297" s="4195"/>
      <c r="H297" s="4195"/>
      <c r="I297" s="4195"/>
      <c r="J297" s="4195"/>
      <c r="K297" s="4195"/>
      <c r="L297" s="4195"/>
      <c r="M297" s="4195"/>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5" t="s">
        <v>6590</v>
      </c>
      <c r="D299" s="4195"/>
      <c r="E299" s="4195"/>
      <c r="F299" s="4195"/>
      <c r="G299" s="4195"/>
      <c r="H299" s="4195"/>
      <c r="I299" s="4195"/>
      <c r="J299" s="4195"/>
      <c r="K299" s="4195"/>
      <c r="L299" s="4195"/>
      <c r="M299" s="4195"/>
      <c r="N299" s="150" t="s">
        <v>1844</v>
      </c>
      <c r="O299" s="1287"/>
      <c r="P299" s="1288"/>
      <c r="Q299" s="331"/>
      <c r="R299" s="1840"/>
      <c r="S299" s="1840"/>
      <c r="T299" s="1840"/>
      <c r="U299" s="1840"/>
    </row>
    <row r="300" spans="1:24" s="332" customFormat="1" ht="10.5" customHeight="1">
      <c r="A300" s="1608"/>
      <c r="B300" s="350" t="s">
        <v>1846</v>
      </c>
      <c r="C300" s="4195" t="s">
        <v>6591</v>
      </c>
      <c r="D300" s="4195"/>
      <c r="E300" s="4195"/>
      <c r="F300" s="4195"/>
      <c r="G300" s="4195"/>
      <c r="H300" s="4195"/>
      <c r="I300" s="4195"/>
      <c r="J300" s="4195"/>
      <c r="K300" s="4195"/>
      <c r="L300" s="4195"/>
      <c r="M300" s="4195"/>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5" t="s">
        <v>6594</v>
      </c>
      <c r="D304" s="4195"/>
      <c r="E304" s="4195"/>
      <c r="F304" s="4195"/>
      <c r="G304" s="4195"/>
      <c r="H304" s="4195"/>
      <c r="I304" s="4195"/>
      <c r="J304" s="4195"/>
      <c r="K304" s="4195"/>
      <c r="L304" s="4195"/>
      <c r="M304" s="4195"/>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9"/>
      <c r="J311" s="4460"/>
      <c r="K311" s="4460"/>
      <c r="L311" s="446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51" t="s">
        <v>6059</v>
      </c>
      <c r="J335" s="3552"/>
      <c r="K335" s="3552"/>
      <c r="L335" s="355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3274</v>
      </c>
      <c r="L345" s="4590"/>
      <c r="M345" s="4590"/>
      <c r="N345" s="49" t="s">
        <v>2241</v>
      </c>
      <c r="O345" s="299"/>
      <c r="P345" s="420"/>
      <c r="R345" s="4586"/>
      <c r="S345" s="4586"/>
    </row>
    <row r="346" spans="1:20" s="79" customFormat="1" ht="12.75" customHeight="1">
      <c r="B346" s="49" t="s">
        <v>2242</v>
      </c>
      <c r="C346" s="29" t="s">
        <v>3273</v>
      </c>
      <c r="L346" s="4590"/>
      <c r="M346" s="4590"/>
      <c r="N346" s="49" t="s">
        <v>2242</v>
      </c>
      <c r="O346" s="299"/>
      <c r="P346" s="420"/>
      <c r="R346" s="4586"/>
      <c r="S346" s="4586"/>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5" t="s">
        <v>1848</v>
      </c>
      <c r="K351" s="4535"/>
      <c r="M351" s="4535" t="s">
        <v>1848</v>
      </c>
      <c r="N351" s="4535"/>
      <c r="O351" s="4535"/>
      <c r="P351" s="4535"/>
      <c r="R351" s="1836"/>
      <c r="S351" s="1836"/>
      <c r="T351" s="1426"/>
    </row>
    <row r="352" spans="1:20" s="36" customFormat="1" ht="12.75" customHeight="1">
      <c r="A352" s="151"/>
      <c r="B352" s="150" t="s">
        <v>6598</v>
      </c>
      <c r="C352" s="29" t="s">
        <v>1388</v>
      </c>
      <c r="I352" s="49" t="s">
        <v>2240</v>
      </c>
      <c r="J352" s="4525"/>
      <c r="K352" s="4526"/>
      <c r="L352" s="49" t="s">
        <v>2240</v>
      </c>
      <c r="M352" s="4629"/>
      <c r="N352" s="4630"/>
      <c r="O352" s="4630"/>
      <c r="P352" s="4631"/>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3953</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6232</v>
      </c>
      <c r="I358" s="49" t="s">
        <v>2261</v>
      </c>
      <c r="J358" s="4530"/>
      <c r="K358" s="4531"/>
      <c r="L358" s="49" t="s">
        <v>2261</v>
      </c>
      <c r="M358" s="1601"/>
      <c r="N358" s="1602"/>
      <c r="O358" s="1602"/>
      <c r="P358" s="1603"/>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6599</v>
      </c>
      <c r="I360" s="48" t="s">
        <v>2263</v>
      </c>
      <c r="J360" s="4530"/>
      <c r="K360" s="4531"/>
      <c r="L360" s="48" t="s">
        <v>2263</v>
      </c>
      <c r="M360" s="4532"/>
      <c r="N360" s="4533"/>
      <c r="O360" s="4533"/>
      <c r="P360" s="4534"/>
      <c r="R360" s="307"/>
    </row>
    <row r="361" spans="1:18" ht="12.75" customHeight="1">
      <c r="B361" s="48" t="s">
        <v>3156</v>
      </c>
      <c r="C361" s="29" t="s">
        <v>3825</v>
      </c>
      <c r="I361" s="48" t="s">
        <v>3156</v>
      </c>
      <c r="J361" s="4530"/>
      <c r="K361" s="4531"/>
      <c r="L361" s="48" t="s">
        <v>3156</v>
      </c>
      <c r="M361" s="4532"/>
      <c r="N361" s="4533"/>
      <c r="O361" s="4533"/>
      <c r="P361" s="4534"/>
      <c r="R361" s="307"/>
    </row>
    <row r="362" spans="1:18" ht="12.75" customHeight="1" thickBot="1">
      <c r="B362" s="48" t="s">
        <v>6233</v>
      </c>
      <c r="C362" s="29" t="s">
        <v>6234</v>
      </c>
      <c r="I362" s="48" t="s">
        <v>6233</v>
      </c>
      <c r="J362" s="4530"/>
      <c r="K362" s="4531"/>
      <c r="L362" s="48" t="s">
        <v>6233</v>
      </c>
      <c r="M362" s="4620"/>
      <c r="N362" s="4621"/>
      <c r="O362" s="4621"/>
      <c r="P362" s="4622"/>
      <c r="R362" s="307"/>
    </row>
    <row r="363" spans="1:18" ht="12.75" customHeight="1" thickBot="1">
      <c r="B363" s="919" t="s">
        <v>6600</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9">
        <f>'Part V-Revenues &amp; Expenses'!$P$67</f>
        <v>44</v>
      </c>
      <c r="K365" s="4640"/>
      <c r="L365" s="430"/>
      <c r="M365" s="393"/>
      <c r="N365" s="393"/>
      <c r="O365" s="881"/>
      <c r="P365" s="393"/>
    </row>
    <row r="366" spans="1:18" ht="13.5" customHeight="1">
      <c r="C366" s="230"/>
      <c r="D366" s="230"/>
      <c r="E366" s="230"/>
      <c r="F366" s="349" t="s">
        <v>6236</v>
      </c>
      <c r="J366" s="4637">
        <f>IF(J365=0,0,J363/J365)</f>
        <v>0</v>
      </c>
      <c r="K366" s="4638"/>
      <c r="M366" s="4527">
        <f>IF($J365=0,0,$M363/$J365)</f>
        <v>0</v>
      </c>
      <c r="N366" s="4528"/>
      <c r="O366" s="4528"/>
      <c r="P366" s="4529"/>
    </row>
    <row r="367" spans="1:18" s="36" customFormat="1" ht="12.75" customHeight="1">
      <c r="C367" s="230"/>
      <c r="D367" s="230"/>
      <c r="E367" s="230"/>
      <c r="F367" s="44" t="s">
        <v>6237</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3885</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7" t="s">
        <v>6602</v>
      </c>
      <c r="C383" s="4217"/>
      <c r="D383" s="4217"/>
      <c r="E383" s="4217"/>
      <c r="F383" s="4217"/>
      <c r="G383" s="4217"/>
      <c r="H383" s="4217"/>
      <c r="I383" s="4217"/>
      <c r="J383" s="4217"/>
      <c r="K383" s="4217"/>
      <c r="L383" s="4217"/>
      <c r="M383" s="4619" t="s">
        <v>3886</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44</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3414</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6744</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7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6698</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15" customHeight="1">
      <c r="A446" s="4209"/>
      <c r="B446" s="4210"/>
      <c r="C446" s="4210"/>
      <c r="D446" s="4210"/>
      <c r="E446" s="4210"/>
      <c r="F446" s="4210"/>
      <c r="G446" s="4210"/>
      <c r="H446" s="4210"/>
      <c r="I446" s="4210"/>
      <c r="J446" s="4210"/>
      <c r="K446" s="4210"/>
      <c r="L446" s="4210"/>
      <c r="M446" s="4210"/>
      <c r="N446" s="4210"/>
      <c r="O446" s="4210"/>
      <c r="P446" s="421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0" t="s">
        <v>1407</v>
      </c>
      <c r="H466" s="4520"/>
      <c r="I466" s="4520"/>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8" t="s">
        <v>2581</v>
      </c>
      <c r="B1" s="4728"/>
      <c r="C1" s="4728"/>
      <c r="D1" s="4728"/>
      <c r="E1" s="4728"/>
      <c r="F1" s="4728"/>
      <c r="G1" s="4728"/>
      <c r="H1" s="4728"/>
      <c r="I1" s="4728"/>
      <c r="J1" s="4728"/>
    </row>
    <row r="2" spans="1:16" ht="15.75">
      <c r="A2" s="4728" t="str">
        <f>'Sensitivity Analysis'!C8</f>
        <v>Windsor Crossing</v>
      </c>
      <c r="B2" s="4728"/>
      <c r="C2" s="4728"/>
      <c r="D2" s="4728"/>
      <c r="E2" s="4728"/>
      <c r="F2" s="4728"/>
      <c r="G2" s="4728"/>
      <c r="H2" s="4728"/>
      <c r="I2" s="4728"/>
      <c r="J2" s="4728"/>
    </row>
    <row r="3" spans="1:16" ht="15.75">
      <c r="A3" s="4728" t="str">
        <f>'Subsidy Layering Memo'!F14</f>
        <v>Nashville, Berrien</v>
      </c>
      <c r="B3" s="4728"/>
      <c r="C3" s="4728"/>
      <c r="D3" s="4728"/>
      <c r="E3" s="4728"/>
      <c r="F3" s="4728"/>
      <c r="G3" s="4728"/>
      <c r="H3" s="4728"/>
      <c r="I3" s="4728"/>
      <c r="J3" s="4728"/>
    </row>
    <row r="4" spans="1:16" ht="15.75">
      <c r="A4" s="4729" t="s">
        <v>2582</v>
      </c>
      <c r="B4" s="4728"/>
      <c r="C4" s="4728"/>
      <c r="D4" s="4728"/>
      <c r="E4" s="4728"/>
      <c r="F4" s="4728"/>
      <c r="G4" s="4728"/>
      <c r="H4" s="4728"/>
      <c r="I4" s="4728"/>
      <c r="J4" s="4728"/>
    </row>
    <row r="5" spans="1:16" ht="5.25" customHeight="1"/>
    <row r="6" spans="1:16" ht="5.25" customHeight="1"/>
    <row r="7" spans="1:16" ht="15.75">
      <c r="A7" s="4730" t="s">
        <v>2583</v>
      </c>
      <c r="B7" s="4730"/>
      <c r="C7" s="4731"/>
      <c r="M7" s="4732"/>
      <c r="N7" s="4732"/>
      <c r="O7" s="4732"/>
      <c r="P7" s="4732"/>
    </row>
    <row r="8" spans="1:16" ht="57" customHeight="1">
      <c r="A8" s="4733" t="s">
        <v>6151</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Nashville, Berrien County, Georgia, with the development of 44 units set aside for &lt;&lt; Select PROPOSED Tenancy &gt;&gt;.</v>
      </c>
      <c r="B9" s="4733"/>
      <c r="C9" s="4733"/>
      <c r="D9" s="4733"/>
      <c r="E9" s="4733"/>
      <c r="F9" s="4733"/>
      <c r="G9" s="4733"/>
      <c r="H9" s="4733"/>
      <c r="I9" s="4733"/>
      <c r="J9" s="4733"/>
      <c r="K9" s="508"/>
    </row>
    <row r="10" spans="1:16" ht="15.75">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75">
      <c r="A14" s="509" t="s">
        <v>2585</v>
      </c>
      <c r="B14" s="510"/>
    </row>
    <row r="15" spans="1:16">
      <c r="A15" s="507" t="s">
        <v>2586</v>
      </c>
      <c r="D15" s="1020" t="s">
        <v>2587</v>
      </c>
    </row>
    <row r="16" spans="1:16">
      <c r="A16" s="507" t="s">
        <v>2588</v>
      </c>
      <c r="D16" s="1254">
        <f>'Sensitivity Analysis'!C25</f>
        <v>900000</v>
      </c>
    </row>
    <row r="17" spans="1:11">
      <c r="A17" s="511" t="s">
        <v>2589</v>
      </c>
      <c r="D17" s="1255">
        <f>'Sensitivity Analysis'!C13</f>
        <v>44</v>
      </c>
    </row>
    <row r="18" spans="1:11" ht="14.25" customHeight="1"/>
    <row r="19" spans="1:11" ht="15.75">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9287071 via the syndication of the 2021 Federal LIHTC allocation of 1080000 per annum. will make a capital contribution totaling 4449155 via the syndication of the 2021 State LIHTC allocation of 1080000 per annum.</v>
      </c>
      <c r="B21" s="4733"/>
      <c r="C21" s="4733"/>
      <c r="D21" s="4733"/>
      <c r="E21" s="4733"/>
      <c r="F21" s="4733"/>
      <c r="G21" s="4733"/>
      <c r="H21" s="4733"/>
      <c r="I21" s="4733"/>
      <c r="J21" s="4733"/>
    </row>
    <row r="22" spans="1:11" ht="43.5" customHeight="1">
      <c r="A22" s="4737" t="str">
        <f>'Subsidy Layering Memo'!A68</f>
        <v xml:space="preserve">The total equity price per credit will be 1.272 (0.86 Federal tax credit and 0.412 State tax credit) for a (X%) ownership interest of the Federal Credits and a (X%) ownership interest of the State Credits. </v>
      </c>
      <c r="B22" s="4737"/>
      <c r="C22" s="4737"/>
      <c r="D22" s="4737"/>
      <c r="E22" s="4737"/>
      <c r="F22" s="4737"/>
      <c r="G22" s="4737"/>
      <c r="H22" s="4737"/>
      <c r="I22" s="4737"/>
      <c r="J22" s="4737"/>
    </row>
    <row r="23" spans="1:11" ht="15.75">
      <c r="A23" s="509" t="s">
        <v>6152</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7" zoomScaleNormal="100" workbookViewId="0">
      <selection activeCell="O28" sqref="O28:P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3" t="str">
        <f>CONCATENATE("PART ONE - PROJECT INFORMATION"," - ",$O$7," ",$F$25,", ",'Part I-Project Identification'!F26,", ",'Part I-Project Identification'!J26," County")</f>
        <v>PART ONE - PROJECT INFORMATION - 2023-0 Windsor Crossing, Nashville, Berrien County</v>
      </c>
      <c r="B2" s="3034"/>
      <c r="C2" s="3034"/>
      <c r="D2" s="3034"/>
      <c r="E2" s="3034"/>
      <c r="F2" s="3034"/>
      <c r="G2" s="3034"/>
      <c r="H2" s="3034"/>
      <c r="I2" s="3034"/>
      <c r="J2" s="3034"/>
      <c r="K2" s="3034"/>
      <c r="L2" s="3034"/>
      <c r="M2" s="3034"/>
      <c r="N2" s="3034"/>
      <c r="O2" s="3034"/>
      <c r="P2" s="3035"/>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7" t="s">
        <v>6745</v>
      </c>
      <c r="B4" s="3047"/>
      <c r="C4" s="3047"/>
      <c r="D4" s="3047"/>
      <c r="E4" s="3047"/>
      <c r="F4" s="3047"/>
      <c r="G4" s="3047"/>
      <c r="H4" s="3047"/>
      <c r="I4" s="3047"/>
      <c r="J4" s="3047"/>
      <c r="K4" s="3047"/>
      <c r="L4" s="3047"/>
      <c r="M4" s="3047"/>
      <c r="N4" s="3047"/>
      <c r="O4" s="3047"/>
      <c r="P4" s="3047"/>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8" t="s">
        <v>7033</v>
      </c>
      <c r="B6" s="3048"/>
      <c r="C6" s="3048"/>
      <c r="D6" s="3048"/>
      <c r="F6" s="242"/>
      <c r="G6" s="224" t="s">
        <v>3823</v>
      </c>
      <c r="L6" s="375"/>
      <c r="P6" s="1788" t="s">
        <v>3289</v>
      </c>
      <c r="Z6" s="1706">
        <v>6</v>
      </c>
    </row>
    <row r="7" spans="1:26" s="144" customFormat="1" ht="12" customHeight="1" thickBot="1">
      <c r="A7" s="3048"/>
      <c r="B7" s="3048"/>
      <c r="C7" s="3048"/>
      <c r="D7" s="3048"/>
      <c r="E7" s="999"/>
      <c r="F7" s="244"/>
      <c r="G7" s="224" t="s">
        <v>6083</v>
      </c>
      <c r="H7" s="248"/>
      <c r="I7" s="248"/>
      <c r="J7" s="248"/>
      <c r="O7" s="3036" t="s">
        <v>6910</v>
      </c>
      <c r="P7" s="3037"/>
      <c r="Q7" s="3050" t="s">
        <v>6634</v>
      </c>
      <c r="R7" s="3050"/>
      <c r="S7" s="3051"/>
      <c r="Z7" s="1706">
        <v>7</v>
      </c>
    </row>
    <row r="8" spans="1:26" s="144" customFormat="1" ht="12" customHeight="1">
      <c r="A8" s="3048"/>
      <c r="B8" s="3048"/>
      <c r="C8" s="3048"/>
      <c r="D8" s="3048"/>
      <c r="E8" s="999"/>
      <c r="F8" s="408"/>
      <c r="G8" s="147" t="s">
        <v>2959</v>
      </c>
      <c r="H8" s="248"/>
      <c r="I8" s="248"/>
      <c r="J8" s="248"/>
      <c r="Q8" s="3052"/>
      <c r="R8" s="3053"/>
      <c r="S8" s="3054"/>
      <c r="Z8" s="1706">
        <v>8</v>
      </c>
    </row>
    <row r="9" spans="1:26" s="144" customFormat="1" ht="6" customHeight="1">
      <c r="A9" s="375"/>
      <c r="E9" s="248"/>
      <c r="H9" s="248"/>
      <c r="I9" s="248"/>
      <c r="M9" s="248"/>
      <c r="Q9" s="3052"/>
      <c r="R9" s="3053"/>
      <c r="S9" s="3054"/>
      <c r="Z9" s="1706">
        <v>9</v>
      </c>
    </row>
    <row r="10" spans="1:26" s="144" customFormat="1" ht="13.35" customHeight="1">
      <c r="A10" s="243" t="s">
        <v>573</v>
      </c>
      <c r="B10" s="243" t="s">
        <v>2192</v>
      </c>
      <c r="D10" s="145"/>
      <c r="E10" s="245"/>
      <c r="F10" s="246" t="s">
        <v>3266</v>
      </c>
      <c r="I10" s="3038">
        <f>'Part III-A-Uses of Funds'!$J$191</f>
        <v>1080000</v>
      </c>
      <c r="J10" s="3039"/>
      <c r="L10" s="144" t="s">
        <v>3267</v>
      </c>
      <c r="O10" s="3040">
        <f>'Part II-Sources of Funds'!$I$6</f>
        <v>0</v>
      </c>
      <c r="P10" s="3041"/>
      <c r="Q10" s="3052"/>
      <c r="R10" s="3053"/>
      <c r="S10" s="3054"/>
      <c r="Z10" s="1706">
        <v>10</v>
      </c>
    </row>
    <row r="11" spans="1:26" s="144" customFormat="1" ht="6" customHeight="1">
      <c r="A11" s="243"/>
      <c r="B11" s="243"/>
      <c r="D11" s="145"/>
      <c r="E11" s="245"/>
      <c r="F11" s="245"/>
      <c r="I11" s="222"/>
      <c r="N11" s="247"/>
      <c r="Q11" s="3052"/>
      <c r="R11" s="3053"/>
      <c r="S11" s="3054"/>
      <c r="Z11" s="1706">
        <v>11</v>
      </c>
    </row>
    <row r="12" spans="1:26" s="144" customFormat="1" ht="13.5">
      <c r="A12" s="222" t="s">
        <v>689</v>
      </c>
      <c r="B12" s="243" t="s">
        <v>1891</v>
      </c>
      <c r="F12" s="3042" t="s">
        <v>7078</v>
      </c>
      <c r="G12" s="3043"/>
      <c r="H12" s="3044"/>
      <c r="I12" s="1789" t="s">
        <v>6517</v>
      </c>
      <c r="J12" s="393" t="s">
        <v>6942</v>
      </c>
      <c r="K12" s="243"/>
      <c r="L12" s="248"/>
      <c r="O12" s="3045" t="s">
        <v>7034</v>
      </c>
      <c r="P12" s="3046"/>
      <c r="Q12" s="3052"/>
      <c r="R12" s="3053"/>
      <c r="S12" s="3054"/>
      <c r="Z12" s="1706">
        <v>12</v>
      </c>
    </row>
    <row r="13" spans="1:26" s="144" customFormat="1">
      <c r="A13" s="375"/>
      <c r="B13" s="145"/>
      <c r="C13" s="145"/>
      <c r="D13" s="145"/>
      <c r="E13" s="145"/>
      <c r="H13" s="248"/>
      <c r="J13" s="394"/>
      <c r="K13" s="222"/>
      <c r="M13" s="248"/>
      <c r="Q13" s="3052"/>
      <c r="R13" s="3053"/>
      <c r="S13" s="3054"/>
      <c r="Z13" s="1706">
        <v>13</v>
      </c>
    </row>
    <row r="14" spans="1:26" s="144" customFormat="1">
      <c r="A14" s="222" t="s">
        <v>691</v>
      </c>
      <c r="B14" s="243" t="s">
        <v>3672</v>
      </c>
      <c r="D14" s="246"/>
      <c r="E14" s="245"/>
      <c r="G14" s="245"/>
      <c r="H14" s="245"/>
      <c r="I14" s="751" t="s">
        <v>3294</v>
      </c>
      <c r="L14" s="247"/>
      <c r="Q14" s="3052"/>
      <c r="R14" s="3053"/>
      <c r="S14" s="3054"/>
      <c r="Z14" s="1706">
        <v>14</v>
      </c>
    </row>
    <row r="15" spans="1:26" s="144" customFormat="1">
      <c r="B15" s="144" t="s">
        <v>3295</v>
      </c>
      <c r="F15" s="3018" t="s">
        <v>7035</v>
      </c>
      <c r="G15" s="3019"/>
      <c r="H15" s="3020"/>
      <c r="I15" s="2444" t="s">
        <v>1670</v>
      </c>
      <c r="J15" s="3021" t="s">
        <v>7036</v>
      </c>
      <c r="K15" s="3022"/>
      <c r="L15" s="3023"/>
      <c r="M15" s="1898" t="s">
        <v>1839</v>
      </c>
      <c r="N15" s="3018" t="s">
        <v>7037</v>
      </c>
      <c r="O15" s="3019"/>
      <c r="P15" s="3020"/>
      <c r="Q15" s="3052"/>
      <c r="R15" s="3053"/>
      <c r="S15" s="3054"/>
      <c r="Z15" s="1706">
        <v>15</v>
      </c>
    </row>
    <row r="16" spans="1:26" s="144" customFormat="1" ht="12.75" customHeight="1">
      <c r="B16" s="246" t="s">
        <v>1599</v>
      </c>
      <c r="F16" s="3015">
        <v>4042021357</v>
      </c>
      <c r="G16" s="3016"/>
      <c r="H16" s="3017"/>
      <c r="I16" s="2445" t="s">
        <v>1598</v>
      </c>
      <c r="J16" s="823"/>
      <c r="M16" s="246" t="s">
        <v>1600</v>
      </c>
      <c r="N16" s="3015">
        <v>4042021357</v>
      </c>
      <c r="O16" s="3016"/>
      <c r="P16" s="3017"/>
      <c r="Q16" s="3052"/>
      <c r="R16" s="3053"/>
      <c r="S16" s="3054"/>
      <c r="V16" s="751"/>
      <c r="W16" s="751"/>
      <c r="X16" s="751"/>
      <c r="Z16" s="1706">
        <v>18</v>
      </c>
    </row>
    <row r="17" spans="1:26" s="144" customFormat="1">
      <c r="B17" s="246" t="s">
        <v>1842</v>
      </c>
      <c r="F17" s="3024" t="s">
        <v>7038</v>
      </c>
      <c r="G17" s="3025"/>
      <c r="H17" s="3025"/>
      <c r="I17" s="3022"/>
      <c r="J17" s="3025"/>
      <c r="K17" s="3022"/>
      <c r="L17" s="3023"/>
      <c r="M17" s="246" t="s">
        <v>1838</v>
      </c>
      <c r="N17" s="3026">
        <v>4042021357</v>
      </c>
      <c r="O17" s="3027"/>
      <c r="P17" s="3028"/>
      <c r="Q17" s="3052"/>
      <c r="R17" s="3053"/>
      <c r="S17" s="3054"/>
      <c r="U17" s="751"/>
      <c r="V17" s="751"/>
      <c r="W17" s="751"/>
      <c r="X17" s="751"/>
      <c r="Z17" s="1706">
        <v>19</v>
      </c>
    </row>
    <row r="18" spans="1:26" s="144" customFormat="1">
      <c r="A18" s="375"/>
      <c r="B18" s="243" t="s">
        <v>3671</v>
      </c>
      <c r="C18" s="145"/>
      <c r="H18" s="248"/>
      <c r="J18" s="145"/>
      <c r="P18" s="248"/>
      <c r="Q18" s="3052"/>
      <c r="R18" s="3053"/>
      <c r="S18" s="3054"/>
      <c r="Z18" s="1706">
        <v>20</v>
      </c>
    </row>
    <row r="19" spans="1:26" s="144" customFormat="1">
      <c r="B19" s="144" t="s">
        <v>3295</v>
      </c>
      <c r="F19" s="3018" t="s">
        <v>7035</v>
      </c>
      <c r="G19" s="3019"/>
      <c r="H19" s="3020"/>
      <c r="I19" s="2444" t="s">
        <v>1670</v>
      </c>
      <c r="J19" s="3021" t="s">
        <v>7039</v>
      </c>
      <c r="K19" s="3022"/>
      <c r="L19" s="3023"/>
      <c r="M19" s="1898" t="s">
        <v>1839</v>
      </c>
      <c r="N19" s="3018" t="s">
        <v>7037</v>
      </c>
      <c r="O19" s="3019"/>
      <c r="P19" s="3020"/>
      <c r="Q19" s="3052"/>
      <c r="R19" s="3053"/>
      <c r="S19" s="3054"/>
      <c r="Z19" s="1706">
        <v>21</v>
      </c>
    </row>
    <row r="20" spans="1:26" s="144" customFormat="1">
      <c r="B20" s="246" t="s">
        <v>1599</v>
      </c>
      <c r="F20" s="3015">
        <v>2052402851</v>
      </c>
      <c r="G20" s="3016"/>
      <c r="H20" s="3017"/>
      <c r="I20" s="2445" t="s">
        <v>1598</v>
      </c>
      <c r="J20" s="823"/>
      <c r="M20" s="246" t="s">
        <v>1600</v>
      </c>
      <c r="N20" s="3015">
        <v>2052402851</v>
      </c>
      <c r="O20" s="3016"/>
      <c r="P20" s="3017"/>
      <c r="Q20" s="3052"/>
      <c r="R20" s="3053"/>
      <c r="S20" s="3054"/>
      <c r="U20" s="230"/>
      <c r="V20" s="230"/>
      <c r="W20" s="230"/>
      <c r="X20" s="230"/>
      <c r="Z20" s="1706">
        <v>24</v>
      </c>
    </row>
    <row r="21" spans="1:26" s="144" customFormat="1">
      <c r="B21" s="246" t="s">
        <v>1842</v>
      </c>
      <c r="F21" s="3024" t="s">
        <v>7040</v>
      </c>
      <c r="G21" s="3025"/>
      <c r="H21" s="3025"/>
      <c r="I21" s="3022"/>
      <c r="J21" s="3025"/>
      <c r="K21" s="3022"/>
      <c r="L21" s="3023"/>
      <c r="M21" s="246" t="s">
        <v>1838</v>
      </c>
      <c r="N21" s="3026">
        <v>2052402851</v>
      </c>
      <c r="O21" s="3027"/>
      <c r="P21" s="3028"/>
      <c r="Q21" s="3052"/>
      <c r="R21" s="3053"/>
      <c r="S21" s="3054"/>
      <c r="Z21" s="1706">
        <v>25</v>
      </c>
    </row>
    <row r="22" spans="1:26" s="144" customFormat="1">
      <c r="I22" s="145"/>
      <c r="J22" s="145"/>
      <c r="K22" s="145"/>
      <c r="L22" s="145"/>
      <c r="M22" s="145"/>
      <c r="N22" s="145"/>
      <c r="O22" s="145"/>
      <c r="P22" s="145"/>
      <c r="Q22" s="3052"/>
      <c r="R22" s="3053"/>
      <c r="S22" s="3054"/>
      <c r="Z22" s="1706">
        <v>26</v>
      </c>
    </row>
    <row r="23" spans="1:26" s="144" customFormat="1">
      <c r="A23" s="222" t="s">
        <v>1666</v>
      </c>
      <c r="B23" s="243" t="s">
        <v>1381</v>
      </c>
      <c r="D23" s="145"/>
      <c r="E23" s="245"/>
      <c r="F23" s="245"/>
      <c r="G23" s="246"/>
      <c r="H23" s="245"/>
      <c r="I23" s="245"/>
      <c r="J23" s="245"/>
      <c r="Q23" s="3052"/>
      <c r="R23" s="3053"/>
      <c r="S23" s="3054"/>
      <c r="Z23" s="1706">
        <v>27</v>
      </c>
    </row>
    <row r="24" spans="1:26" s="144" customFormat="1" ht="1.5" customHeight="1">
      <c r="A24" s="222"/>
      <c r="B24" s="243"/>
      <c r="D24" s="145"/>
      <c r="E24" s="245"/>
      <c r="F24" s="245"/>
      <c r="G24" s="246"/>
      <c r="H24" s="245"/>
      <c r="I24" s="245"/>
      <c r="J24" s="245"/>
      <c r="L24" s="247"/>
      <c r="M24" s="247"/>
      <c r="Q24" s="3052"/>
      <c r="R24" s="3053"/>
      <c r="S24" s="3054"/>
      <c r="Z24" s="1706">
        <v>28</v>
      </c>
    </row>
    <row r="25" spans="1:26" s="144" customFormat="1" ht="13.35" customHeight="1">
      <c r="A25" s="243"/>
      <c r="B25" s="144" t="s">
        <v>574</v>
      </c>
      <c r="D25" s="243"/>
      <c r="F25" s="3021" t="s">
        <v>7041</v>
      </c>
      <c r="G25" s="3029"/>
      <c r="H25" s="3029"/>
      <c r="I25" s="3022"/>
      <c r="J25" s="3029"/>
      <c r="K25" s="3030"/>
      <c r="M25" s="246" t="s">
        <v>425</v>
      </c>
      <c r="P25" s="1899" t="s">
        <v>2649</v>
      </c>
      <c r="Q25" s="3052"/>
      <c r="R25" s="3053"/>
      <c r="S25" s="3054"/>
      <c r="Z25" s="1706">
        <v>29</v>
      </c>
    </row>
    <row r="26" spans="1:26" s="144" customFormat="1">
      <c r="A26" s="375"/>
      <c r="B26" s="144" t="s">
        <v>575</v>
      </c>
      <c r="F26" s="3060" t="s">
        <v>2077</v>
      </c>
      <c r="G26" s="3073"/>
      <c r="H26" s="3074"/>
      <c r="I26" s="257" t="s">
        <v>576</v>
      </c>
      <c r="J26" s="3031" t="str">
        <f>IF(F26="","",VLOOKUP(F26,'DCA Underwriting Assumptions'!$T$141:$U$770,2,FALSE))</f>
        <v>Berrien</v>
      </c>
      <c r="K26" s="3032"/>
      <c r="M26" s="246" t="s">
        <v>426</v>
      </c>
      <c r="P26" s="1956" t="s">
        <v>2652</v>
      </c>
      <c r="Q26" s="3052"/>
      <c r="R26" s="3053"/>
      <c r="S26" s="3054"/>
      <c r="U26" s="375"/>
      <c r="Z26" s="1706">
        <v>30</v>
      </c>
    </row>
    <row r="27" spans="1:26" s="144" customFormat="1" ht="13.5">
      <c r="A27" s="375"/>
      <c r="B27" s="144" t="s">
        <v>3906</v>
      </c>
      <c r="C27" s="251"/>
      <c r="D27" s="252"/>
      <c r="E27" s="252"/>
      <c r="F27" s="3060" t="s">
        <v>7042</v>
      </c>
      <c r="G27" s="3061"/>
      <c r="H27" s="3062"/>
      <c r="I27" s="248"/>
      <c r="J27" s="392" t="s">
        <v>6723</v>
      </c>
      <c r="K27" s="248"/>
      <c r="M27" s="246" t="s">
        <v>6666</v>
      </c>
      <c r="O27" s="3013">
        <v>36</v>
      </c>
      <c r="P27" s="3014"/>
      <c r="Q27" s="3052"/>
      <c r="R27" s="3053"/>
      <c r="S27" s="3054"/>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31" t="str">
        <f>IF($F$26="","",VLOOKUP($J$26,'DCA Underwriting Assumptions'!$G$141:$L$300,3,FALSE))</f>
        <v>Berrien Co.</v>
      </c>
      <c r="P28" s="3032"/>
      <c r="Q28" s="3052"/>
      <c r="R28" s="3053"/>
      <c r="S28" s="3054"/>
      <c r="Z28" s="1706">
        <v>32</v>
      </c>
    </row>
    <row r="29" spans="1:26" s="144" customFormat="1">
      <c r="A29" s="375"/>
      <c r="B29" s="375"/>
      <c r="C29" s="251"/>
      <c r="D29" s="252"/>
      <c r="E29" s="252"/>
      <c r="F29" s="248"/>
      <c r="G29" s="248"/>
      <c r="H29" s="248"/>
      <c r="I29" s="248"/>
      <c r="J29" s="252"/>
      <c r="K29" s="248"/>
      <c r="L29" s="248"/>
      <c r="P29" s="248"/>
      <c r="Q29" s="3052"/>
      <c r="R29" s="3053"/>
      <c r="S29" s="3054"/>
      <c r="Z29" s="1706">
        <v>33</v>
      </c>
    </row>
    <row r="30" spans="1:26" s="144" customFormat="1">
      <c r="A30" s="222" t="s">
        <v>1668</v>
      </c>
      <c r="B30" s="222" t="s">
        <v>6653</v>
      </c>
      <c r="D30" s="253"/>
      <c r="E30" s="253"/>
      <c r="F30" s="253"/>
      <c r="G30" s="248"/>
      <c r="H30" s="248"/>
      <c r="I30" s="248"/>
      <c r="J30" s="252"/>
      <c r="K30" s="248"/>
      <c r="L30" s="248"/>
      <c r="P30" s="1937"/>
      <c r="Q30" s="3052"/>
      <c r="R30" s="3053"/>
      <c r="S30" s="3054"/>
      <c r="Z30" s="1706">
        <v>34</v>
      </c>
    </row>
    <row r="31" spans="1:26" s="144" customFormat="1" ht="2.25" customHeight="1">
      <c r="A31" s="375"/>
      <c r="B31" s="375"/>
      <c r="M31" s="246"/>
      <c r="N31" s="1214"/>
      <c r="O31" s="1214"/>
      <c r="P31" s="1551"/>
      <c r="Q31" s="3052"/>
      <c r="R31" s="3053"/>
      <c r="S31" s="3054"/>
      <c r="Z31" s="1706">
        <v>35</v>
      </c>
    </row>
    <row r="32" spans="1:26" s="144" customFormat="1">
      <c r="A32" s="375"/>
      <c r="B32" s="222" t="s">
        <v>6652</v>
      </c>
      <c r="D32" s="817"/>
      <c r="E32" s="817"/>
      <c r="F32" s="817"/>
      <c r="G32" s="817"/>
      <c r="H32" s="248"/>
      <c r="J32" s="145"/>
      <c r="K32" s="252"/>
      <c r="P32" s="248"/>
      <c r="Q32" s="3052"/>
      <c r="R32" s="3053"/>
      <c r="S32" s="3054"/>
      <c r="Z32" s="1706">
        <v>36</v>
      </c>
    </row>
    <row r="33" spans="1:26" s="144" customFormat="1" ht="1.5" customHeight="1">
      <c r="A33" s="375"/>
      <c r="B33" s="375"/>
      <c r="C33" s="222"/>
      <c r="D33" s="817"/>
      <c r="E33" s="817"/>
      <c r="F33" s="817"/>
      <c r="G33" s="817"/>
      <c r="H33" s="248"/>
      <c r="J33" s="145"/>
      <c r="K33" s="252"/>
      <c r="P33" s="248"/>
      <c r="Q33" s="3052"/>
      <c r="R33" s="3053"/>
      <c r="S33" s="3054"/>
      <c r="Z33" s="1706">
        <v>37</v>
      </c>
    </row>
    <row r="34" spans="1:26" s="144" customFormat="1" ht="13.5" hidden="1" customHeight="1">
      <c r="A34" s="375"/>
      <c r="B34" s="375"/>
      <c r="C34" s="144" t="s">
        <v>1208</v>
      </c>
      <c r="D34" s="258"/>
      <c r="I34" s="1248"/>
      <c r="K34" s="243"/>
      <c r="L34" s="144" t="s">
        <v>3086</v>
      </c>
      <c r="P34" s="1892"/>
      <c r="Q34" s="3052"/>
      <c r="R34" s="3053"/>
      <c r="S34" s="3054"/>
      <c r="Z34" s="1706">
        <v>38</v>
      </c>
    </row>
    <row r="35" spans="1:26" s="144" customFormat="1" ht="12.75" hidden="1" customHeight="1">
      <c r="A35" s="375"/>
      <c r="B35" s="243"/>
      <c r="C35" s="144" t="s">
        <v>3932</v>
      </c>
      <c r="I35" s="1886"/>
      <c r="J35" s="257" t="s">
        <v>2483</v>
      </c>
      <c r="O35" s="3058"/>
      <c r="P35" s="3059"/>
      <c r="Q35" s="3052"/>
      <c r="R35" s="3053"/>
      <c r="S35" s="3054"/>
      <c r="Z35" s="1706">
        <v>39</v>
      </c>
    </row>
    <row r="36" spans="1:26" s="144" customFormat="1" ht="12.75" customHeight="1">
      <c r="A36" s="375"/>
      <c r="B36" s="243"/>
      <c r="C36" s="144" t="s">
        <v>1676</v>
      </c>
      <c r="I36" s="1248" t="s">
        <v>2652</v>
      </c>
      <c r="J36" s="257" t="s">
        <v>2483</v>
      </c>
      <c r="O36" s="3069"/>
      <c r="P36" s="3070"/>
      <c r="Q36" s="3052"/>
      <c r="R36" s="3053"/>
      <c r="S36" s="3054"/>
      <c r="Z36" s="1706">
        <v>40</v>
      </c>
    </row>
    <row r="37" spans="1:26" s="144" customFormat="1" ht="12.6" customHeight="1">
      <c r="A37" s="375"/>
      <c r="B37" s="375"/>
      <c r="C37" s="144" t="s">
        <v>2574</v>
      </c>
      <c r="I37" s="862" t="s">
        <v>2652</v>
      </c>
      <c r="J37" s="257" t="s">
        <v>2483</v>
      </c>
      <c r="O37" s="3071"/>
      <c r="P37" s="3072"/>
      <c r="Q37" s="3055"/>
      <c r="R37" s="3056"/>
      <c r="S37" s="3057"/>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3"/>
      <c r="B41" s="3064"/>
      <c r="C41" s="3064"/>
      <c r="D41" s="3064"/>
      <c r="E41" s="3064"/>
      <c r="F41" s="3064"/>
      <c r="G41" s="3064"/>
      <c r="H41" s="3064"/>
      <c r="I41" s="3064"/>
      <c r="J41" s="3064"/>
      <c r="K41" s="3064"/>
      <c r="L41" s="3065"/>
      <c r="M41" s="3066"/>
      <c r="N41" s="3067"/>
      <c r="O41" s="3067"/>
      <c r="P41" s="3068"/>
      <c r="Q41" s="3049"/>
      <c r="R41" s="3012"/>
      <c r="S41" s="3012"/>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Windsor Crossing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75">
      <c r="A8" s="576" t="s">
        <v>2647</v>
      </c>
      <c r="B8" s="576"/>
      <c r="C8" s="4739" t="str">
        <f>'Part I-Project Identification'!$F$25</f>
        <v>Windsor Crossing</v>
      </c>
      <c r="D8" s="4739"/>
      <c r="E8" s="1978" t="str">
        <f>'Part I-Project Identification'!$O$7</f>
        <v>2023-0</v>
      </c>
      <c r="F8" s="576" t="s">
        <v>2648</v>
      </c>
      <c r="G8" s="567"/>
      <c r="H8" s="4739" t="str">
        <f>CONCATENATE('Part I-Project Identification'!$F$26,", ",'Part I-Project Identification'!$J$26)</f>
        <v>Nashville, Berrien</v>
      </c>
      <c r="I8" s="4739"/>
      <c r="J8" s="4739"/>
      <c r="K8" s="4739"/>
      <c r="L8" s="567"/>
      <c r="M8" s="545"/>
    </row>
    <row r="9" spans="1:14" ht="15.75">
      <c r="A9" s="576" t="s">
        <v>2650</v>
      </c>
      <c r="B9" s="576"/>
      <c r="C9" s="4739" t="s">
        <v>1646</v>
      </c>
      <c r="D9" s="4739"/>
      <c r="E9" s="567"/>
      <c r="F9" s="576" t="s">
        <v>2651</v>
      </c>
      <c r="G9" s="567"/>
      <c r="H9" s="4740"/>
      <c r="I9" s="4740"/>
      <c r="J9" s="4740"/>
      <c r="K9" s="4740"/>
      <c r="L9" s="4740"/>
      <c r="M9" s="545"/>
    </row>
    <row r="10" spans="1:14" ht="15.75">
      <c r="A10" s="576" t="s">
        <v>2653</v>
      </c>
      <c r="B10" s="567"/>
      <c r="C10" s="4741"/>
      <c r="D10" s="4741"/>
      <c r="E10" s="567"/>
      <c r="F10" s="576" t="s">
        <v>3131</v>
      </c>
      <c r="G10" s="567"/>
      <c r="H10" s="4738"/>
      <c r="I10" s="4738"/>
      <c r="J10" s="4738"/>
      <c r="K10" s="4738"/>
      <c r="L10" s="4738"/>
    </row>
    <row r="11" spans="1:14" ht="15.75">
      <c r="A11" s="576" t="s">
        <v>2654</v>
      </c>
      <c r="B11" s="567"/>
      <c r="C11" s="4742"/>
      <c r="D11" s="4742"/>
      <c r="E11" s="1992"/>
      <c r="F11" s="576" t="s">
        <v>606</v>
      </c>
      <c r="G11" s="567"/>
      <c r="H11" s="4738"/>
      <c r="I11" s="4738"/>
      <c r="J11" s="4738"/>
      <c r="K11" s="4738"/>
      <c r="L11" s="4738"/>
      <c r="M11" s="4743"/>
      <c r="N11" s="4744"/>
    </row>
    <row r="12" spans="1:14" ht="15.75">
      <c r="A12" s="576" t="s">
        <v>2655</v>
      </c>
      <c r="B12" s="567"/>
      <c r="C12" s="4742"/>
      <c r="D12" s="4742"/>
      <c r="E12" s="567"/>
      <c r="F12" s="576" t="s">
        <v>2656</v>
      </c>
      <c r="G12" s="567"/>
      <c r="H12" s="4742"/>
      <c r="I12" s="4742"/>
      <c r="J12" s="4742"/>
      <c r="K12" s="4742"/>
      <c r="L12" s="4742"/>
      <c r="M12" s="507"/>
    </row>
    <row r="13" spans="1:14" ht="15.75">
      <c r="A13" s="576" t="s">
        <v>2657</v>
      </c>
      <c r="B13" s="576"/>
      <c r="C13" s="1979">
        <f>'Part V-Revenues &amp; Expenses'!$P$67</f>
        <v>44</v>
      </c>
      <c r="D13" s="26"/>
      <c r="E13" s="1980">
        <f>'Part V-Revenues &amp; Expenses'!$P$63</f>
        <v>44</v>
      </c>
      <c r="F13" s="576" t="s">
        <v>3451</v>
      </c>
      <c r="G13" s="567"/>
      <c r="H13" s="1990"/>
      <c r="I13" s="1982"/>
      <c r="J13" s="1982"/>
      <c r="K13" s="1981">
        <f>'Part V-Revenues &amp; Expenses'!$K$175</f>
        <v>46334</v>
      </c>
      <c r="L13" s="567"/>
      <c r="M13" s="507"/>
    </row>
    <row r="14" spans="1:14" ht="15.75">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5" t="s">
        <v>3099</v>
      </c>
      <c r="I14" s="4745"/>
      <c r="J14" s="4745"/>
      <c r="K14" s="4745" t="s">
        <v>3099</v>
      </c>
      <c r="L14" s="4745"/>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14641816.182497175</v>
      </c>
      <c r="D18" s="1986">
        <f>IF(C18=0,"",$C$29/C18)</f>
        <v>6.1467784377450374E-2</v>
      </c>
      <c r="E18" s="567" t="s">
        <v>2953</v>
      </c>
      <c r="F18" s="576" t="s">
        <v>6749</v>
      </c>
      <c r="G18" s="567"/>
      <c r="H18" s="4746">
        <f>'Part III-A-Uses of Funds'!$C$49</f>
        <v>10537015</v>
      </c>
      <c r="I18" s="4746"/>
      <c r="J18" s="1987">
        <f>IF(H18=0,"",$C$29/H18)</f>
        <v>8.5413183904549814E-2</v>
      </c>
      <c r="K18" s="4739" t="s">
        <v>2955</v>
      </c>
      <c r="L18" s="4739"/>
      <c r="M18" s="507"/>
    </row>
    <row r="19" spans="1:13" ht="15.75">
      <c r="A19" s="576" t="s">
        <v>2660</v>
      </c>
      <c r="B19" s="567"/>
      <c r="C19" s="1988">
        <f>C18/C13</f>
        <v>332768.54960220854</v>
      </c>
      <c r="D19" s="567"/>
      <c r="E19" s="567"/>
      <c r="F19" s="576" t="s">
        <v>2660</v>
      </c>
      <c r="G19" s="567"/>
      <c r="H19" s="4747">
        <f>H18/C13</f>
        <v>239477.61363636365</v>
      </c>
      <c r="I19" s="4747"/>
      <c r="J19" s="567"/>
      <c r="K19" s="567"/>
      <c r="L19" s="567"/>
      <c r="M19" s="507"/>
    </row>
    <row r="20" spans="1:13" ht="15.75">
      <c r="A20" s="576" t="s">
        <v>2661</v>
      </c>
      <c r="B20" s="567"/>
      <c r="C20" s="1978">
        <f>C18/K13</f>
        <v>316.00587435786196</v>
      </c>
      <c r="D20" s="1989"/>
      <c r="E20" s="1989"/>
      <c r="F20" s="576" t="s">
        <v>2661</v>
      </c>
      <c r="G20" s="567"/>
      <c r="H20" s="4739">
        <f>H18/K13</f>
        <v>227.41431777960028</v>
      </c>
      <c r="I20" s="4747"/>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v>
      </c>
      <c r="C25" s="553">
        <f>'Part II-Sources of Funds'!I40</f>
        <v>900000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900000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13736226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900000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6.1467784377450374E-2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8.5413183904549814E-2</v>
      </c>
      <c r="D40" s="507"/>
      <c r="E40" s="507"/>
      <c r="F40" s="510"/>
      <c r="G40" s="510" t="s">
        <v>2681</v>
      </c>
      <c r="H40" s="507"/>
      <c r="I40" s="507"/>
      <c r="K40" s="555">
        <f>C30/C18</f>
        <v>0.93815041991991965</v>
      </c>
      <c r="L40" s="507"/>
      <c r="M40" s="507"/>
    </row>
    <row r="46" spans="1:13" ht="15.75">
      <c r="A46" s="550" t="s">
        <v>2682</v>
      </c>
      <c r="B46" s="540"/>
      <c r="C46" s="540"/>
      <c r="D46" s="540"/>
      <c r="E46" s="540"/>
      <c r="F46" s="540"/>
      <c r="G46" s="540"/>
      <c r="H46" s="540"/>
      <c r="I46" s="540"/>
      <c r="J46" s="540"/>
      <c r="K46" s="540"/>
      <c r="L46" s="540"/>
      <c r="M46" s="507"/>
    </row>
    <row r="47" spans="1:13" ht="15.75">
      <c r="A47" s="550" t="str">
        <f>C8</f>
        <v>Windsor Crossing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325560</v>
      </c>
      <c r="D52" s="568"/>
      <c r="E52" s="568">
        <f>$C$52</f>
        <v>325560</v>
      </c>
      <c r="F52" s="568"/>
      <c r="G52" s="568">
        <f>$C$52</f>
        <v>325560</v>
      </c>
      <c r="H52" s="568"/>
      <c r="I52" s="568">
        <f>$C$52</f>
        <v>325560</v>
      </c>
      <c r="J52" s="568"/>
      <c r="K52" s="568">
        <f>$C$52</f>
        <v>325560</v>
      </c>
      <c r="L52" s="569"/>
      <c r="M52"/>
      <c r="N52"/>
    </row>
    <row r="53" spans="1:14" s="507" customFormat="1" ht="18.75" customHeight="1">
      <c r="B53" s="567" t="s">
        <v>2689</v>
      </c>
      <c r="C53" s="568">
        <f>'Part VI-Pro Forma'!B16</f>
        <v>6511.2</v>
      </c>
      <c r="D53" s="568"/>
      <c r="E53" s="568">
        <f>$C$53</f>
        <v>6511.2</v>
      </c>
      <c r="F53" s="568"/>
      <c r="G53" s="568">
        <f>$C$53</f>
        <v>6511.2</v>
      </c>
      <c r="H53" s="568"/>
      <c r="I53" s="568">
        <f>$C$53</f>
        <v>6511.2</v>
      </c>
      <c r="J53" s="568"/>
      <c r="K53" s="568">
        <f>$C$53</f>
        <v>6511.2</v>
      </c>
      <c r="L53" s="569"/>
      <c r="M53"/>
      <c r="N53"/>
    </row>
    <row r="54" spans="1:14" s="507" customFormat="1" ht="18.75" customHeight="1">
      <c r="B54" s="567" t="s">
        <v>2687</v>
      </c>
      <c r="C54" s="568">
        <f>'Part VI-Pro Forma'!B17</f>
        <v>-23244.984000000004</v>
      </c>
      <c r="D54" s="568"/>
      <c r="E54" s="568">
        <f>-($C$52+E53)*F50</f>
        <v>-33207.120000000003</v>
      </c>
      <c r="F54" s="570"/>
      <c r="G54" s="568">
        <f>-($C$52+G53)*0.07</f>
        <v>-23244.984000000004</v>
      </c>
      <c r="H54" s="568"/>
      <c r="I54" s="568">
        <f>-($C$52+I53)*0.07</f>
        <v>-23244.984000000004</v>
      </c>
      <c r="J54" s="568"/>
      <c r="K54" s="568">
        <f>-($C$52+K53)*L54</f>
        <v>-33207.120000000003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308826.21600000001</v>
      </c>
      <c r="D56" s="568"/>
      <c r="E56" s="574">
        <f>SUM(E52:E55)</f>
        <v>298864.08</v>
      </c>
      <c r="F56" s="568"/>
      <c r="G56" s="574">
        <f>SUM(G52:G55)</f>
        <v>308826.21600000001</v>
      </c>
      <c r="H56" s="568"/>
      <c r="I56" s="574">
        <f>SUM(I52:I55)</f>
        <v>308826.21600000001</v>
      </c>
      <c r="J56" s="568"/>
      <c r="K56" s="574">
        <f>SUM(K52:K55)</f>
        <v>298864.08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4000</v>
      </c>
      <c r="D60" s="568"/>
      <c r="E60" s="568">
        <f>$C$60</f>
        <v>4000</v>
      </c>
      <c r="F60" s="568"/>
      <c r="G60" s="568">
        <f>$C$60</f>
        <v>4000</v>
      </c>
      <c r="H60" s="568"/>
      <c r="I60" s="568">
        <f>$C$60*(1+$J$50)</f>
        <v>4120</v>
      </c>
      <c r="J60" s="570"/>
      <c r="K60" s="568">
        <f>$C$60*(1+$J$50)</f>
        <v>4120</v>
      </c>
      <c r="L60" s="571">
        <v>0.03</v>
      </c>
      <c r="M60"/>
      <c r="N60"/>
    </row>
    <row r="61" spans="1:14" s="507" customFormat="1" ht="18.75" customHeight="1">
      <c r="B61" s="567" t="s">
        <v>1298</v>
      </c>
      <c r="C61" s="568">
        <f>+'Part V-Revenues &amp; Expenses'!L244</f>
        <v>36189</v>
      </c>
      <c r="D61" s="568"/>
      <c r="E61" s="568">
        <f>$C$61</f>
        <v>36189</v>
      </c>
      <c r="F61" s="568"/>
      <c r="G61" s="568">
        <f>$C$61*(1+H50)</f>
        <v>37998.450000000004</v>
      </c>
      <c r="H61" s="570"/>
      <c r="I61" s="568">
        <f>$C$61</f>
        <v>36189</v>
      </c>
      <c r="J61" s="568"/>
      <c r="K61" s="568">
        <f>$C$61*(1+$L$61)</f>
        <v>37998.450000000004</v>
      </c>
      <c r="L61" s="571">
        <v>0.05</v>
      </c>
      <c r="M61"/>
      <c r="N61"/>
    </row>
    <row r="62" spans="1:14" s="507" customFormat="1" ht="18.75" customHeight="1">
      <c r="B62" s="573" t="s">
        <v>2693</v>
      </c>
      <c r="C62" s="574">
        <f>SUM(C58:C61)</f>
        <v>47689</v>
      </c>
      <c r="D62" s="568"/>
      <c r="E62" s="574">
        <f>SUM(E58:E61)</f>
        <v>47689</v>
      </c>
      <c r="F62" s="568"/>
      <c r="G62" s="574">
        <f>SUM(G58:G61)</f>
        <v>49498.450000000004</v>
      </c>
      <c r="H62" s="568"/>
      <c r="I62" s="574">
        <f>SUM(I58:I61)</f>
        <v>47809</v>
      </c>
      <c r="J62" s="568"/>
      <c r="K62" s="574">
        <f>SUM(K58:K61)</f>
        <v>49618.450000000004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261137.21600000001</v>
      </c>
      <c r="D64" s="577"/>
      <c r="E64" s="577">
        <f>E56-E62</f>
        <v>251175.08000000002</v>
      </c>
      <c r="F64" s="577"/>
      <c r="G64" s="577">
        <f>G56-G62</f>
        <v>259327.766</v>
      </c>
      <c r="H64" s="577"/>
      <c r="I64" s="577">
        <f>I56-I62</f>
        <v>261017.21600000001</v>
      </c>
      <c r="J64" s="577"/>
      <c r="K64" s="577">
        <f>K56-K62</f>
        <v>249245.63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261137.21600000001</v>
      </c>
      <c r="D70" s="577"/>
      <c r="E70" s="580">
        <f>E64-E66-E68</f>
        <v>251175.08000000002</v>
      </c>
      <c r="F70" s="577"/>
      <c r="G70" s="580">
        <f>G64-G66-G68</f>
        <v>259327.766</v>
      </c>
      <c r="H70" s="577"/>
      <c r="I70" s="580">
        <f>I64-I66-I68</f>
        <v>261017.21600000001</v>
      </c>
      <c r="J70" s="577"/>
      <c r="K70" s="580">
        <f>K64-K66-K68</f>
        <v>249245.63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4.7480774720288963</v>
      </c>
      <c r="D72" s="581"/>
      <c r="E72" s="1004">
        <f>-E70/E75</f>
        <v>4.5669428400548462</v>
      </c>
      <c r="F72" s="581"/>
      <c r="G72" s="1004">
        <f>-G70/G75</f>
        <v>4.7151774935679063</v>
      </c>
      <c r="H72" s="581"/>
      <c r="I72" s="1004">
        <f>-I70/I75</f>
        <v>4.7458955949859725</v>
      </c>
      <c r="J72" s="581"/>
      <c r="K72" s="1004">
        <f>-K70/K75</f>
        <v>4.5318609845509323</v>
      </c>
      <c r="L72" s="4"/>
      <c r="M72" s="10"/>
      <c r="N72" s="10"/>
    </row>
    <row r="73" spans="1:14" s="507" customFormat="1" ht="18.75" customHeight="1">
      <c r="A73"/>
      <c r="B73" s="567" t="s">
        <v>2699</v>
      </c>
      <c r="C73" s="1005">
        <f>C76/C62</f>
        <v>4.3225628499307058</v>
      </c>
      <c r="D73" s="582"/>
      <c r="E73" s="1005">
        <f>E76/E62</f>
        <v>4.1136648650704659</v>
      </c>
      <c r="F73" s="582"/>
      <c r="G73" s="1005">
        <f>G76/G62</f>
        <v>4.1279928917035864</v>
      </c>
      <c r="H73" s="582"/>
      <c r="I73" s="1005">
        <f>I76/I62</f>
        <v>4.309203282861918</v>
      </c>
      <c r="J73" s="582"/>
      <c r="K73" s="1005">
        <f>K76/K62</f>
        <v>3.9148162377169258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-54998.516249654567</v>
      </c>
      <c r="D75" s="568"/>
      <c r="E75" s="568">
        <f>$C$75</f>
        <v>-54998.516249654567</v>
      </c>
      <c r="F75" s="568"/>
      <c r="G75" s="568">
        <f>$C$75</f>
        <v>-54998.516249654567</v>
      </c>
      <c r="H75" s="568"/>
      <c r="I75" s="568">
        <f>$C$75</f>
        <v>-54998.516249654567</v>
      </c>
      <c r="J75" s="568"/>
      <c r="K75" s="568">
        <f>$C$75</f>
        <v>-54998.516249654567</v>
      </c>
      <c r="L75" s="26"/>
      <c r="M75"/>
      <c r="N75"/>
    </row>
    <row r="76" spans="1:14" s="507" customFormat="1" ht="18.75" customHeight="1">
      <c r="A76"/>
      <c r="B76" s="567" t="s">
        <v>1096</v>
      </c>
      <c r="C76" s="568">
        <f>C70+C75</f>
        <v>206138.69975034543</v>
      </c>
      <c r="D76" s="568"/>
      <c r="E76" s="568">
        <f>E70+E75</f>
        <v>196176.56375034543</v>
      </c>
      <c r="F76" s="568"/>
      <c r="G76" s="568">
        <f>G70+G75</f>
        <v>204329.24975034542</v>
      </c>
      <c r="H76" s="568"/>
      <c r="I76" s="568">
        <f>I70+I75</f>
        <v>206018.69975034543</v>
      </c>
      <c r="J76" s="568"/>
      <c r="K76" s="568">
        <f>K70+K75</f>
        <v>194247.11375034542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Windsor Crossing</v>
      </c>
    </row>
    <row r="13" spans="1:10" ht="15">
      <c r="A13" s="517"/>
      <c r="D13" s="516" t="s">
        <v>2604</v>
      </c>
      <c r="F13" s="1024" t="str">
        <f>'Sensitivity Analysis'!E8</f>
        <v>2023-0</v>
      </c>
    </row>
    <row r="14" spans="1:10" ht="15">
      <c r="A14" s="517"/>
      <c r="D14" s="516" t="s">
        <v>2605</v>
      </c>
      <c r="F14" s="1024" t="str">
        <f>'Sensitivity Analysis'!H8</f>
        <v>Nashville, Berrien</v>
      </c>
    </row>
    <row r="15" spans="1:10" ht="15">
      <c r="A15" s="517"/>
      <c r="D15" s="516" t="s">
        <v>2946</v>
      </c>
      <c r="F15" s="4759">
        <f>'Sensitivity Analysis'!$C$25</f>
        <v>900000</v>
      </c>
      <c r="G15" s="4759"/>
      <c r="H15" s="4759"/>
    </row>
    <row r="16" spans="1:10" ht="15">
      <c r="A16" s="517"/>
      <c r="D16" s="519" t="s">
        <v>2606</v>
      </c>
      <c r="F16" s="520">
        <f>'Sensitivity Analysis'!C13</f>
        <v>44</v>
      </c>
      <c r="G16" s="521" t="s">
        <v>2947</v>
      </c>
      <c r="H16" s="972">
        <f>'Sensitivity Analysis'!E13</f>
        <v>44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1" t="s">
        <v>3098</v>
      </c>
      <c r="B22" s="4751"/>
      <c r="C22" s="4751"/>
      <c r="D22" s="4751"/>
      <c r="E22" s="4751"/>
      <c r="F22" s="4751"/>
      <c r="G22" s="4751"/>
      <c r="H22" s="4751"/>
      <c r="I22" s="4751"/>
      <c r="J22" s="4751"/>
      <c r="K22" s="4750" t="s">
        <v>3897</v>
      </c>
      <c r="L22" s="4750"/>
      <c r="M22" s="4750"/>
      <c r="N22" s="475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ht="15">
      <c r="A26" s="522" t="s">
        <v>6153</v>
      </c>
    </row>
    <row r="27" spans="1:18" ht="14.25" customHeight="1">
      <c r="A27" s="4753" t="s">
        <v>6155</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1"/>
      <c r="B35" s="1251"/>
      <c r="C35" s="1251"/>
      <c r="D35" s="1251"/>
      <c r="E35" s="1251"/>
      <c r="F35" s="1251"/>
      <c r="G35" s="1251"/>
      <c r="H35" s="1251"/>
      <c r="I35" s="1251"/>
      <c r="J35" s="1251"/>
    </row>
    <row r="36" spans="1:10" ht="19.5" customHeight="1">
      <c r="A36" s="4752" t="s">
        <v>6156</v>
      </c>
      <c r="B36" s="4752"/>
      <c r="C36" s="4752"/>
      <c r="D36" s="1249"/>
      <c r="E36" s="1249"/>
      <c r="F36" s="1249"/>
      <c r="G36" s="1249"/>
      <c r="H36" s="1249"/>
      <c r="I36" s="1249"/>
      <c r="J36" s="1249"/>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9"/>
      <c r="B45" s="1249"/>
      <c r="C45" s="1249"/>
      <c r="D45" s="1249"/>
      <c r="E45" s="1249"/>
      <c r="F45" s="1249"/>
      <c r="G45" s="1249"/>
      <c r="H45" s="1249"/>
      <c r="I45" s="1249"/>
      <c r="J45" s="1249"/>
    </row>
    <row r="46" spans="1:10" ht="15">
      <c r="A46" s="522" t="s">
        <v>2607</v>
      </c>
    </row>
    <row r="47" spans="1:10" ht="135" customHeight="1">
      <c r="A47" s="4737" t="s">
        <v>6157</v>
      </c>
      <c r="B47" s="4737"/>
      <c r="C47" s="4737"/>
      <c r="D47" s="4737"/>
      <c r="E47" s="4737"/>
      <c r="F47" s="4737"/>
      <c r="G47" s="4737"/>
      <c r="H47" s="4737"/>
      <c r="I47" s="4737"/>
      <c r="J47" s="4737"/>
    </row>
    <row r="48" spans="1:10" ht="6" customHeight="1">
      <c r="A48" s="1250"/>
      <c r="B48" s="1250"/>
      <c r="C48" s="1250"/>
      <c r="D48" s="1250"/>
      <c r="E48" s="1250"/>
      <c r="F48" s="1250"/>
      <c r="G48" s="1250"/>
      <c r="H48" s="1250"/>
      <c r="I48" s="1250"/>
      <c r="J48" s="1250"/>
    </row>
    <row r="49" spans="1:12" ht="15">
      <c r="A49" s="522" t="s">
        <v>2608</v>
      </c>
    </row>
    <row r="50" spans="1:12" ht="33" customHeight="1">
      <c r="A50" s="4733" t="s">
        <v>3452</v>
      </c>
      <c r="B50" s="4735"/>
      <c r="C50" s="4735"/>
      <c r="D50" s="4735"/>
      <c r="E50" s="4735"/>
      <c r="F50" s="4735"/>
      <c r="G50" s="4735"/>
      <c r="H50" s="4735"/>
      <c r="I50" s="4735"/>
      <c r="J50" s="4733"/>
    </row>
    <row r="51" spans="1:12" ht="3" customHeight="1"/>
    <row r="52" spans="1:12" ht="72.75" customHeight="1">
      <c r="A52" s="4733" t="s">
        <v>3453</v>
      </c>
      <c r="B52" s="4733"/>
      <c r="C52" s="4733"/>
      <c r="D52" s="4733"/>
      <c r="E52" s="4733"/>
      <c r="F52" s="4733"/>
      <c r="G52" s="4733"/>
      <c r="H52" s="4733"/>
      <c r="I52" s="4733"/>
      <c r="J52" s="4733"/>
    </row>
    <row r="53" spans="1:12" ht="3" customHeight="1">
      <c r="A53" s="1249"/>
      <c r="B53" s="1249"/>
      <c r="C53" s="1249"/>
      <c r="D53" s="1249"/>
      <c r="E53" s="1249"/>
      <c r="F53" s="1249"/>
      <c r="G53" s="1249"/>
      <c r="H53" s="1249"/>
      <c r="I53" s="1249"/>
      <c r="J53" s="1249"/>
    </row>
    <row r="54" spans="1:12" ht="56.25" customHeight="1">
      <c r="A54" s="4733" t="s">
        <v>3454</v>
      </c>
      <c r="B54" s="4733"/>
      <c r="C54" s="4733"/>
      <c r="D54" s="4733"/>
      <c r="E54" s="4733"/>
      <c r="F54" s="4733"/>
      <c r="G54" s="4733"/>
      <c r="H54" s="4733"/>
      <c r="I54" s="4733"/>
      <c r="J54" s="4733"/>
    </row>
    <row r="55" spans="1:12" ht="3" customHeight="1">
      <c r="A55" s="1249"/>
      <c r="B55" s="1249"/>
      <c r="C55" s="1249"/>
      <c r="D55" s="1249"/>
      <c r="E55" s="1249"/>
      <c r="F55" s="1249"/>
      <c r="G55" s="1249"/>
      <c r="H55" s="1249"/>
      <c r="I55" s="1249"/>
      <c r="J55" s="1249"/>
    </row>
    <row r="56" spans="1:12" ht="49.5" customHeight="1">
      <c r="A56" s="4733" t="s">
        <v>3455</v>
      </c>
      <c r="B56" s="4733"/>
      <c r="C56" s="4733"/>
      <c r="D56" s="4733"/>
      <c r="E56" s="4733"/>
      <c r="F56" s="4733"/>
      <c r="G56" s="4733"/>
      <c r="H56" s="4733"/>
      <c r="I56" s="4733"/>
      <c r="J56" s="1249"/>
    </row>
    <row r="57" spans="1:12" ht="3" customHeight="1">
      <c r="A57" s="1249"/>
      <c r="B57" s="1249"/>
      <c r="C57" s="1249"/>
      <c r="D57" s="1249"/>
      <c r="E57" s="1249"/>
      <c r="F57" s="1249"/>
      <c r="G57" s="1249"/>
      <c r="H57" s="1249"/>
      <c r="I57" s="1249"/>
      <c r="J57" s="1249"/>
    </row>
    <row r="58" spans="1:12" ht="54.75" customHeight="1">
      <c r="A58" s="4764" t="s">
        <v>2956</v>
      </c>
      <c r="B58" s="4733"/>
      <c r="C58" s="4733"/>
      <c r="D58" s="4733"/>
      <c r="E58" s="4733"/>
      <c r="F58" s="4733"/>
      <c r="G58" s="4733"/>
      <c r="H58" s="4733"/>
      <c r="I58" s="4733"/>
      <c r="J58" s="1249"/>
    </row>
    <row r="59" spans="1:12" ht="3" customHeight="1">
      <c r="A59" s="1249"/>
      <c r="B59" s="1249"/>
      <c r="C59" s="1249"/>
      <c r="D59" s="1249"/>
      <c r="E59" s="1249"/>
      <c r="F59" s="1249"/>
      <c r="G59" s="1249"/>
      <c r="H59" s="1249"/>
      <c r="I59" s="1249"/>
      <c r="J59" s="1249"/>
    </row>
    <row r="60" spans="1:12" ht="62.25" customHeight="1">
      <c r="A60" s="4733" t="s">
        <v>3456</v>
      </c>
      <c r="B60" s="4733"/>
      <c r="C60" s="4733"/>
      <c r="D60" s="4733"/>
      <c r="E60" s="4733"/>
      <c r="F60" s="4733"/>
      <c r="G60" s="4733"/>
      <c r="H60" s="4733"/>
      <c r="I60" s="4733"/>
      <c r="J60" s="4733"/>
    </row>
    <row r="61" spans="1:12" ht="3" customHeight="1"/>
    <row r="62" spans="1:12" ht="73.5" customHeight="1">
      <c r="A62" s="4733" t="s">
        <v>3457</v>
      </c>
      <c r="B62" s="4733"/>
      <c r="C62" s="4733"/>
      <c r="D62" s="4733"/>
      <c r="E62" s="4733"/>
      <c r="F62" s="4733"/>
      <c r="G62" s="4733"/>
      <c r="H62" s="4733"/>
      <c r="I62" s="4733"/>
      <c r="J62" s="4733"/>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1" t="s">
        <v>2610</v>
      </c>
      <c r="B65" s="4751"/>
      <c r="C65" s="4751"/>
      <c r="D65" s="4751"/>
      <c r="E65" s="4751"/>
      <c r="F65" s="4751"/>
      <c r="G65" s="4751"/>
      <c r="H65" s="4751"/>
      <c r="I65" s="4751"/>
      <c r="J65" s="4751"/>
      <c r="L65" s="524">
        <f>'Closing term sheet'!C135</f>
        <v>602205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9287071 via the syndication of the 2021 Federal LIHTC allocation of 1080000 per annum. will make a capital contribution totaling 4449155 via the syndication of the 2021 State LIHTC allocation of 1080000 per annum.</v>
      </c>
      <c r="B67" s="4733"/>
      <c r="C67" s="4733"/>
      <c r="D67" s="4733"/>
      <c r="E67" s="4733"/>
      <c r="F67" s="4733"/>
      <c r="G67" s="4733"/>
      <c r="H67" s="4733"/>
      <c r="I67" s="4733"/>
      <c r="J67" s="529"/>
      <c r="L67" s="530">
        <f>'Part II-Sources of Funds'!I51</f>
        <v>9287071</v>
      </c>
      <c r="M67" s="531">
        <f>'Part III-A-Uses of Funds'!$J$191</f>
        <v>1080000</v>
      </c>
      <c r="N67" s="532">
        <f>'Part III-A-Uses of Funds'!N182</f>
        <v>0.86</v>
      </c>
      <c r="O67" s="530">
        <f>'Part II-Sources of Funds'!I52</f>
        <v>4449155</v>
      </c>
      <c r="P67" s="531">
        <f>M67</f>
        <v>1080000</v>
      </c>
      <c r="Q67" s="532">
        <f>'Part III-A-Uses of Funds'!Q182</f>
        <v>0.41199999999999998</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1.272 (0.86 Federal tax credit and 0.412 State tax credit) for a (X%) ownership interest of the Federal Credits and a (X%) ownership interest of the State Credits. </v>
      </c>
      <c r="B68" s="4737"/>
      <c r="C68" s="4737"/>
      <c r="D68" s="4737"/>
      <c r="E68" s="4737"/>
      <c r="F68" s="4737"/>
      <c r="G68" s="4737"/>
      <c r="H68" s="4737"/>
      <c r="I68" s="4737"/>
      <c r="J68" s="529"/>
      <c r="L68" s="1552"/>
      <c r="M68" s="1552"/>
      <c r="N68" s="635"/>
      <c r="O68" s="1552"/>
      <c r="P68" s="1552"/>
      <c r="Q68" s="635"/>
    </row>
    <row r="69" spans="1:17" ht="18.75" customHeight="1">
      <c r="A69" s="533" t="s">
        <v>2611</v>
      </c>
    </row>
    <row r="70" spans="1:17" ht="177" customHeight="1">
      <c r="A70" s="4733" t="s">
        <v>6158</v>
      </c>
      <c r="B70" s="4733"/>
      <c r="C70" s="4733"/>
      <c r="D70" s="4733"/>
      <c r="E70" s="4733"/>
      <c r="F70" s="4733"/>
      <c r="G70" s="4733"/>
      <c r="H70" s="4733"/>
      <c r="I70" s="4733"/>
      <c r="J70" s="4733"/>
      <c r="L70" s="534">
        <f>'Part VI-Pro Forma'!K72</f>
        <v>493532.22265670588</v>
      </c>
      <c r="M70" s="4758" t="s">
        <v>3097</v>
      </c>
      <c r="N70" s="4750"/>
    </row>
    <row r="71" spans="1:17" ht="6" customHeight="1">
      <c r="A71" s="522"/>
    </row>
    <row r="72" spans="1:17" ht="15">
      <c r="A72" s="522" t="s">
        <v>2612</v>
      </c>
    </row>
    <row r="73" spans="1:17" ht="72.599999999999994"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ht="15">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ht="15">
      <c r="A79" s="522" t="s">
        <v>2617</v>
      </c>
    </row>
    <row r="80" spans="1:17" ht="66" customHeight="1">
      <c r="A80" s="4733" t="s">
        <v>2618</v>
      </c>
      <c r="B80" s="4733"/>
      <c r="C80" s="4733"/>
      <c r="D80" s="4733"/>
      <c r="E80" s="4733"/>
      <c r="F80" s="4733"/>
      <c r="G80" s="4733"/>
      <c r="H80" s="4733"/>
      <c r="I80" s="4733"/>
      <c r="J80" s="4733"/>
    </row>
    <row r="81" spans="1:15" s="1251" customFormat="1" ht="6" customHeight="1">
      <c r="A81" s="4733"/>
      <c r="B81" s="4733"/>
      <c r="C81" s="4733"/>
      <c r="D81" s="4733"/>
      <c r="E81" s="4733"/>
      <c r="F81" s="4733"/>
      <c r="G81" s="4733"/>
      <c r="H81" s="4733"/>
      <c r="I81" s="4733"/>
      <c r="J81" s="4733"/>
    </row>
    <row r="82" spans="1:15" ht="16.5" customHeight="1">
      <c r="A82" s="1252" t="s">
        <v>2619</v>
      </c>
      <c r="B82" s="521"/>
      <c r="C82" s="521"/>
      <c r="D82" s="1024"/>
      <c r="E82" s="521"/>
      <c r="F82" s="521"/>
      <c r="G82" s="521"/>
      <c r="H82" s="521"/>
      <c r="I82" s="521"/>
      <c r="J82" s="535"/>
    </row>
    <row r="83" spans="1:15" s="1251" customFormat="1" ht="63" customHeight="1">
      <c r="A83" s="4733" t="s">
        <v>3659</v>
      </c>
      <c r="B83" s="4733"/>
      <c r="C83" s="4733"/>
      <c r="D83" s="4733"/>
      <c r="E83" s="4733"/>
      <c r="F83" s="4733"/>
      <c r="G83" s="4733"/>
      <c r="H83" s="4733"/>
      <c r="I83" s="4733"/>
      <c r="J83" s="4733"/>
    </row>
    <row r="84" spans="1:15" s="1251" customFormat="1" ht="6" customHeight="1">
      <c r="A84" s="1249"/>
      <c r="B84" s="1249"/>
      <c r="C84" s="1249"/>
      <c r="D84" s="1249"/>
      <c r="E84" s="1249"/>
      <c r="F84" s="1249"/>
      <c r="G84" s="1249"/>
      <c r="H84" s="1249"/>
      <c r="I84" s="1249"/>
      <c r="J84" s="1249"/>
    </row>
    <row r="85" spans="1:15" ht="16.5" customHeight="1">
      <c r="A85" s="4755" t="s">
        <v>2620</v>
      </c>
      <c r="B85" s="4756"/>
      <c r="C85" s="4756"/>
      <c r="D85" s="521"/>
      <c r="E85" s="521"/>
      <c r="F85" s="521"/>
      <c r="G85" s="521"/>
      <c r="H85" s="521"/>
      <c r="I85" s="521"/>
      <c r="J85" s="535"/>
    </row>
    <row r="86" spans="1:15" ht="41.25" customHeight="1">
      <c r="A86" s="4733"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ht="15">
      <c r="A88" s="522" t="s">
        <v>2621</v>
      </c>
    </row>
    <row r="89" spans="1:15" ht="124.15" customHeight="1">
      <c r="A89" s="4733" t="s">
        <v>2622</v>
      </c>
      <c r="B89" s="4733"/>
      <c r="C89" s="4733"/>
      <c r="D89" s="4733"/>
      <c r="E89" s="4733"/>
      <c r="F89" s="4733"/>
      <c r="G89" s="4733"/>
      <c r="H89" s="4733"/>
      <c r="I89" s="4733"/>
      <c r="J89" s="4733"/>
      <c r="L89" s="4750" t="s">
        <v>2623</v>
      </c>
      <c r="M89" s="4750"/>
      <c r="N89" s="4750"/>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ht="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9"/>
      <c r="F96" s="1249"/>
      <c r="G96" s="1249"/>
      <c r="H96" s="1249"/>
      <c r="I96" s="1249"/>
      <c r="J96" s="1249"/>
    </row>
    <row r="97" spans="1:14" ht="109.5" customHeight="1">
      <c r="A97" s="4762" t="s">
        <v>2631</v>
      </c>
      <c r="B97" s="4763"/>
      <c r="C97" s="4763"/>
      <c r="D97" s="4763"/>
      <c r="E97" s="4763"/>
      <c r="F97" s="4763"/>
      <c r="G97" s="4763"/>
      <c r="H97" s="4763"/>
      <c r="I97" s="4763"/>
      <c r="J97" s="4763"/>
    </row>
    <row r="98" spans="1:14" ht="11.25" customHeight="1">
      <c r="A98" s="522"/>
    </row>
    <row r="99" spans="1:14" ht="15">
      <c r="A99" s="522" t="s">
        <v>2632</v>
      </c>
    </row>
    <row r="100" spans="1:14" ht="110.65" customHeight="1">
      <c r="A100" s="4751" t="s">
        <v>2633</v>
      </c>
      <c r="B100" s="4751"/>
      <c r="C100" s="4751"/>
      <c r="D100" s="4751"/>
      <c r="E100" s="4751"/>
      <c r="F100" s="4751"/>
      <c r="G100" s="4751"/>
      <c r="H100" s="4751"/>
      <c r="I100" s="4751"/>
      <c r="J100" s="4751"/>
      <c r="L100" s="975">
        <f>'Part VI-Pro Forma'!K72</f>
        <v>493532.22265670588</v>
      </c>
      <c r="M100" s="4754" t="s">
        <v>2634</v>
      </c>
      <c r="N100" s="475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5" t="s">
        <v>2635</v>
      </c>
      <c r="B104" s="4735"/>
      <c r="C104" s="4735"/>
      <c r="D104" s="1249"/>
      <c r="E104" s="1249"/>
      <c r="F104" s="1249"/>
      <c r="G104" s="1249"/>
      <c r="H104" s="1249"/>
      <c r="I104" s="1249"/>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ht="15">
      <c r="A107" s="522" t="s">
        <v>2637</v>
      </c>
    </row>
    <row r="108" spans="1:14" ht="43.5" customHeight="1">
      <c r="A108" s="4733" t="s">
        <v>2638</v>
      </c>
      <c r="B108" s="4733"/>
      <c r="C108" s="4733"/>
      <c r="D108" s="4733"/>
      <c r="E108" s="4733"/>
      <c r="F108" s="4733"/>
      <c r="G108" s="4733"/>
      <c r="H108" s="4733"/>
      <c r="I108" s="4733"/>
      <c r="J108" s="4733"/>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60" t="s">
        <v>6064</v>
      </c>
      <c r="B120" s="4760"/>
      <c r="C120" s="4760"/>
      <c r="D120" s="4760"/>
      <c r="E120" s="4761"/>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Windsor Crossing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2647</v>
      </c>
      <c r="B8" s="510"/>
      <c r="C8" s="4765" t="str">
        <f>'Part I-Project Identification'!F25</f>
        <v>Windsor Crossing</v>
      </c>
      <c r="D8" s="4765"/>
      <c r="E8" s="1020" t="str">
        <f>'Part I-Project Identification'!O7</f>
        <v>2023-0</v>
      </c>
      <c r="F8" s="510" t="s">
        <v>2648</v>
      </c>
      <c r="G8" s="507"/>
      <c r="H8" s="4765" t="str">
        <f>CONCATENATE('Part I-Project Identification'!F26,", ",'Part I-Project Identification'!J26)</f>
        <v>Nashville, Berrien</v>
      </c>
      <c r="I8" s="4765"/>
      <c r="J8" s="4765"/>
      <c r="K8" s="4765"/>
      <c r="L8" s="507"/>
      <c r="M8" s="545"/>
    </row>
    <row r="9" spans="1:14" ht="15.7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75">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75">
      <c r="A13" s="510" t="s">
        <v>2657</v>
      </c>
      <c r="B13" s="510"/>
      <c r="C13" s="506">
        <f>'Part V-Revenues &amp; Expenses'!$P$67</f>
        <v>44</v>
      </c>
      <c r="E13" s="970">
        <f>'Part V-Revenues &amp; Expenses'!$P$63</f>
        <v>44</v>
      </c>
      <c r="F13" s="510" t="s">
        <v>3451</v>
      </c>
      <c r="G13" s="507"/>
      <c r="H13" s="1021" t="e">
        <f>'Part I-Project Identification'!#REF!</f>
        <v>#REF!</v>
      </c>
      <c r="I13" s="971"/>
      <c r="J13" s="971"/>
      <c r="K13" s="1021">
        <f>'Part V-Revenues &amp; Expenses'!K175</f>
        <v>46334</v>
      </c>
      <c r="L13" s="507"/>
      <c r="M13" s="507"/>
    </row>
    <row r="14" spans="1:14" ht="15.75">
      <c r="A14" s="510" t="s">
        <v>2949</v>
      </c>
      <c r="B14" s="507"/>
      <c r="C14" s="1021" t="e">
        <f>'Part I-Project Identification'!#REF!</f>
        <v>#REF!</v>
      </c>
      <c r="D14" s="4765" t="e">
        <f>IF('Part V-Revenues &amp; Expenses'!#REF!=0,"",'Part V-Revenues &amp; Expenses'!#REF!)</f>
        <v>#REF!</v>
      </c>
      <c r="E14" s="4765"/>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14641816.182497175</v>
      </c>
      <c r="D18" s="1003">
        <f>IF(C18=0,"",$C$29/C18)</f>
        <v>6.1467784377450374E-2</v>
      </c>
      <c r="E18" s="507" t="s">
        <v>2953</v>
      </c>
      <c r="F18" s="510" t="s">
        <v>2954</v>
      </c>
      <c r="G18" s="507"/>
      <c r="H18" s="4766">
        <f>'Part III-A-Uses of Funds'!C49</f>
        <v>10537015</v>
      </c>
      <c r="I18" s="4766"/>
      <c r="J18" s="1002">
        <f>IF(H18=0,"",$C$29/H18)</f>
        <v>8.5413183904549814E-2</v>
      </c>
      <c r="K18" s="4765" t="s">
        <v>2955</v>
      </c>
      <c r="L18" s="4765"/>
      <c r="M18" s="507"/>
    </row>
    <row r="19" spans="1:13" ht="15.75">
      <c r="A19" s="510" t="s">
        <v>2660</v>
      </c>
      <c r="B19" s="507"/>
      <c r="C19" s="1022">
        <f>C18/C13</f>
        <v>332768.54960220854</v>
      </c>
      <c r="D19" s="507"/>
      <c r="E19" s="507"/>
      <c r="F19" s="510" t="s">
        <v>2660</v>
      </c>
      <c r="G19" s="507"/>
      <c r="H19" s="4767">
        <f>H18/C13</f>
        <v>239477.61363636365</v>
      </c>
      <c r="I19" s="4767"/>
      <c r="J19" s="507"/>
      <c r="K19" s="507"/>
      <c r="L19" s="507"/>
      <c r="M19" s="507"/>
    </row>
    <row r="20" spans="1:13" ht="15.75">
      <c r="A20" s="510" t="s">
        <v>2661</v>
      </c>
      <c r="B20" s="507"/>
      <c r="C20" s="1020">
        <f>C18/K13</f>
        <v>316.00587435786196</v>
      </c>
      <c r="D20" s="548"/>
      <c r="E20" s="548"/>
      <c r="F20" s="510" t="s">
        <v>2661</v>
      </c>
      <c r="G20" s="507"/>
      <c r="H20" s="4765">
        <f>H18/K13</f>
        <v>227.41431777960028</v>
      </c>
      <c r="I20" s="476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v>
      </c>
      <c r="C25" s="553">
        <f>'Part II-Sources of Funds'!I40</f>
        <v>900000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900000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13736226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900000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6.1467784377450374E-2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8.5413183904549814E-2</v>
      </c>
      <c r="D40" s="507"/>
      <c r="E40" s="507"/>
      <c r="F40" s="510"/>
      <c r="G40" s="510" t="s">
        <v>2681</v>
      </c>
      <c r="H40" s="507"/>
      <c r="I40" s="507"/>
      <c r="K40" s="555">
        <f>C30/C18</f>
        <v>0.93815041991991965</v>
      </c>
      <c r="L40" s="507"/>
      <c r="M40" s="507"/>
    </row>
    <row r="46" spans="1:13" ht="15.75">
      <c r="A46" s="550" t="s">
        <v>2682</v>
      </c>
      <c r="B46" s="540"/>
      <c r="C46" s="540"/>
      <c r="D46" s="540"/>
      <c r="E46" s="540"/>
      <c r="F46" s="540"/>
      <c r="G46" s="540"/>
      <c r="H46" s="540"/>
      <c r="I46" s="540"/>
      <c r="J46" s="540"/>
      <c r="K46" s="540"/>
      <c r="L46" s="540"/>
      <c r="M46" s="507"/>
    </row>
    <row r="47" spans="1:13" ht="15.75">
      <c r="A47" s="550" t="str">
        <f>C8</f>
        <v>Windsor Crossing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325560</v>
      </c>
      <c r="D52" s="568"/>
      <c r="E52" s="568">
        <f>$C$52</f>
        <v>325560</v>
      </c>
      <c r="F52" s="568"/>
      <c r="G52" s="568">
        <f>$C$52</f>
        <v>325560</v>
      </c>
      <c r="H52" s="568"/>
      <c r="I52" s="568">
        <f>$C$52</f>
        <v>325560</v>
      </c>
      <c r="J52" s="568"/>
      <c r="K52" s="568">
        <f>$C$52</f>
        <v>325560</v>
      </c>
      <c r="L52" s="569"/>
      <c r="M52"/>
      <c r="N52"/>
    </row>
    <row r="53" spans="1:14" s="507" customFormat="1" ht="18.75" customHeight="1">
      <c r="B53" s="567" t="s">
        <v>2689</v>
      </c>
      <c r="C53" s="568">
        <f>'Part VI-Pro Forma'!B16</f>
        <v>6511.2</v>
      </c>
      <c r="D53" s="568"/>
      <c r="E53" s="568">
        <f>$C$53</f>
        <v>6511.2</v>
      </c>
      <c r="F53" s="568"/>
      <c r="G53" s="568">
        <f>$C$53</f>
        <v>6511.2</v>
      </c>
      <c r="H53" s="568"/>
      <c r="I53" s="568">
        <f>$C$53</f>
        <v>6511.2</v>
      </c>
      <c r="J53" s="568"/>
      <c r="K53" s="568">
        <f>$C$53</f>
        <v>6511.2</v>
      </c>
      <c r="L53" s="569"/>
      <c r="M53"/>
      <c r="N53"/>
    </row>
    <row r="54" spans="1:14" s="507" customFormat="1" ht="18.75" customHeight="1">
      <c r="B54" s="567" t="s">
        <v>2687</v>
      </c>
      <c r="C54" s="568">
        <f>'Part VI-Pro Forma'!B17</f>
        <v>-23244.984000000004</v>
      </c>
      <c r="D54" s="568"/>
      <c r="E54" s="568">
        <f>-($C$52+E53)*F50</f>
        <v>-33207.120000000003</v>
      </c>
      <c r="F54" s="570"/>
      <c r="G54" s="568">
        <f>-($C$52+G53)*0.07</f>
        <v>-23244.984000000004</v>
      </c>
      <c r="H54" s="568"/>
      <c r="I54" s="568">
        <f>-($C$52+I53)*0.07</f>
        <v>-23244.984000000004</v>
      </c>
      <c r="J54" s="568"/>
      <c r="K54" s="568">
        <f>-($C$52+K53)*L54</f>
        <v>-33207.120000000003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308826.21600000001</v>
      </c>
      <c r="D56" s="568"/>
      <c r="E56" s="574">
        <f>SUM(E52:E55)</f>
        <v>298864.08</v>
      </c>
      <c r="F56" s="568"/>
      <c r="G56" s="574">
        <f>SUM(G52:G55)</f>
        <v>308826.21600000001</v>
      </c>
      <c r="H56" s="568"/>
      <c r="I56" s="574">
        <f>SUM(I52:I55)</f>
        <v>308826.21600000001</v>
      </c>
      <c r="J56" s="568"/>
      <c r="K56" s="574">
        <f>SUM(K52:K55)</f>
        <v>298864.08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78886</v>
      </c>
      <c r="D58" s="568"/>
      <c r="E58" s="568">
        <f>$C$58</f>
        <v>78886</v>
      </c>
      <c r="F58" s="568"/>
      <c r="G58" s="568">
        <f>$C$58</f>
        <v>78886</v>
      </c>
      <c r="H58" s="568"/>
      <c r="I58" s="568">
        <f>$C$58</f>
        <v>78886</v>
      </c>
      <c r="J58" s="568"/>
      <c r="K58" s="568">
        <f>$C$58</f>
        <v>78886</v>
      </c>
      <c r="L58" s="569"/>
      <c r="M58"/>
      <c r="N58"/>
    </row>
    <row r="59" spans="1:14" s="507" customFormat="1" ht="18.75" customHeight="1">
      <c r="B59" s="567" t="s">
        <v>2692</v>
      </c>
      <c r="C59" s="568">
        <f>+'Part V-Revenues &amp; Expenses'!F247</f>
        <v>35700</v>
      </c>
      <c r="D59" s="568"/>
      <c r="E59" s="568">
        <f>$C$59</f>
        <v>35700</v>
      </c>
      <c r="F59" s="568"/>
      <c r="G59" s="568">
        <f>$C$59</f>
        <v>35700</v>
      </c>
      <c r="H59" s="568"/>
      <c r="I59" s="568">
        <f>$C$59</f>
        <v>35700</v>
      </c>
      <c r="J59" s="568"/>
      <c r="K59" s="568">
        <f>$C$59*(1+$L$59)</f>
        <v>37128</v>
      </c>
      <c r="L59" s="575">
        <v>0.04</v>
      </c>
      <c r="M59"/>
      <c r="N59"/>
    </row>
    <row r="60" spans="1:14" s="507" customFormat="1" ht="18.75" customHeight="1">
      <c r="B60" s="567" t="s">
        <v>1297</v>
      </c>
      <c r="C60" s="568">
        <f>+'Part V-Revenues &amp; Expenses'!L241</f>
        <v>20000</v>
      </c>
      <c r="D60" s="568"/>
      <c r="E60" s="568">
        <f>$C$60</f>
        <v>20000</v>
      </c>
      <c r="F60" s="568"/>
      <c r="G60" s="568">
        <f>$C$60</f>
        <v>20000</v>
      </c>
      <c r="H60" s="568"/>
      <c r="I60" s="568">
        <f>$C$60*(1+$J$50)</f>
        <v>20600</v>
      </c>
      <c r="J60" s="570"/>
      <c r="K60" s="568">
        <f>$C$60*(1+$J$50)</f>
        <v>20600</v>
      </c>
      <c r="L60" s="571">
        <v>0.03</v>
      </c>
      <c r="M60"/>
      <c r="N60"/>
    </row>
    <row r="61" spans="1:14" s="507" customFormat="1" ht="18.75" customHeight="1">
      <c r="B61" s="567" t="s">
        <v>1298</v>
      </c>
      <c r="C61" s="568">
        <f>+'Part V-Revenues &amp; Expenses'!L247</f>
        <v>60324</v>
      </c>
      <c r="D61" s="568"/>
      <c r="E61" s="568">
        <f>$C$61</f>
        <v>60324</v>
      </c>
      <c r="F61" s="568"/>
      <c r="G61" s="568">
        <f>$C$61*(1+H50)</f>
        <v>63340.200000000004</v>
      </c>
      <c r="H61" s="570"/>
      <c r="I61" s="568">
        <f>$C$61</f>
        <v>60324</v>
      </c>
      <c r="J61" s="568"/>
      <c r="K61" s="568">
        <f>$C$61*(1+$L$61)</f>
        <v>63340.200000000004</v>
      </c>
      <c r="L61" s="571">
        <v>0.05</v>
      </c>
      <c r="M61"/>
      <c r="N61"/>
    </row>
    <row r="62" spans="1:14" s="507" customFormat="1" ht="18.75" customHeight="1">
      <c r="B62" s="573" t="s">
        <v>2693</v>
      </c>
      <c r="C62" s="574">
        <f>SUM(C58:C61)</f>
        <v>194910</v>
      </c>
      <c r="D62" s="568"/>
      <c r="E62" s="574">
        <f>SUM(E58:E61)</f>
        <v>194910</v>
      </c>
      <c r="F62" s="568"/>
      <c r="G62" s="574">
        <f>SUM(G58:G61)</f>
        <v>197926.2</v>
      </c>
      <c r="H62" s="568"/>
      <c r="I62" s="574">
        <f>SUM(I58:I61)</f>
        <v>195510</v>
      </c>
      <c r="J62" s="568"/>
      <c r="K62" s="574">
        <f>SUM(K58:K61)</f>
        <v>199954.2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113916.21600000001</v>
      </c>
      <c r="D64" s="577"/>
      <c r="E64" s="577">
        <f>E56-E62</f>
        <v>103954.08000000002</v>
      </c>
      <c r="F64" s="577"/>
      <c r="G64" s="577">
        <f>G56-G62</f>
        <v>110900.016</v>
      </c>
      <c r="H64" s="577"/>
      <c r="I64" s="577">
        <f>I56-I62</f>
        <v>113316.21600000001</v>
      </c>
      <c r="J64" s="577"/>
      <c r="K64" s="577">
        <f>K56-K62</f>
        <v>98909.88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11000</v>
      </c>
      <c r="D66" s="568"/>
      <c r="E66" s="568">
        <f>$C$66</f>
        <v>11000</v>
      </c>
      <c r="F66" s="568"/>
      <c r="G66" s="568">
        <f>$C$66</f>
        <v>11000</v>
      </c>
      <c r="H66" s="568"/>
      <c r="I66" s="568">
        <f>$C$66</f>
        <v>11000</v>
      </c>
      <c r="J66" s="568"/>
      <c r="K66" s="568">
        <f>$C$66</f>
        <v>11000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22176</v>
      </c>
      <c r="D68" s="568"/>
      <c r="E68" s="568">
        <f>$C$68</f>
        <v>22176</v>
      </c>
      <c r="F68" s="568"/>
      <c r="G68" s="568">
        <f>$C$68</f>
        <v>22176</v>
      </c>
      <c r="H68" s="568"/>
      <c r="I68" s="568">
        <f>$C$68</f>
        <v>22176</v>
      </c>
      <c r="J68" s="568"/>
      <c r="K68" s="568">
        <f>$C$68</f>
        <v>22176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80740.216000000015</v>
      </c>
      <c r="D70" s="577"/>
      <c r="E70" s="580">
        <f>E64-E66-E68</f>
        <v>70778.080000000016</v>
      </c>
      <c r="F70" s="577"/>
      <c r="G70" s="580">
        <f>G64-G66-G68</f>
        <v>77724.016000000003</v>
      </c>
      <c r="H70" s="577"/>
      <c r="I70" s="580">
        <f>I64-I66-I68</f>
        <v>80140.216000000015</v>
      </c>
      <c r="J70" s="577"/>
      <c r="K70" s="580">
        <f>K64-K66-K68</f>
        <v>65733.88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1.4680435310926616</v>
      </c>
      <c r="D72" s="581"/>
      <c r="E72" s="1004">
        <f>-E70/E75</f>
        <v>1.2869088991186113</v>
      </c>
      <c r="F72" s="581"/>
      <c r="G72" s="1004">
        <f>-G70/G75</f>
        <v>1.4132020516187684</v>
      </c>
      <c r="H72" s="581"/>
      <c r="I72" s="1004">
        <f>-I70/I75</f>
        <v>1.4571341458780418</v>
      </c>
      <c r="J72" s="581"/>
      <c r="K72" s="1004">
        <f>-K70/K75</f>
        <v>1.1951936976193038</v>
      </c>
      <c r="L72" s="4"/>
      <c r="M72" s="10"/>
      <c r="N72" s="10"/>
    </row>
    <row r="73" spans="1:14" s="507" customFormat="1" ht="18.75" customHeight="1">
      <c r="A73"/>
      <c r="B73" s="567" t="s">
        <v>2699</v>
      </c>
      <c r="C73" s="1005">
        <f>C76/C62</f>
        <v>0.13206967190162355</v>
      </c>
      <c r="D73" s="582"/>
      <c r="E73" s="1005">
        <f>E76/E62</f>
        <v>8.0958205070778555E-2</v>
      </c>
      <c r="F73" s="582"/>
      <c r="G73" s="1005">
        <f>G76/G62</f>
        <v>0.1148180470819196</v>
      </c>
      <c r="H73" s="582"/>
      <c r="I73" s="1005">
        <f>I76/I62</f>
        <v>0.12859546698555291</v>
      </c>
      <c r="J73" s="582"/>
      <c r="K73" s="1005">
        <f>K76/K62</f>
        <v>5.3689113558732134E-2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-54998.516249654567</v>
      </c>
      <c r="D75" s="568"/>
      <c r="E75" s="568">
        <f>$C$75</f>
        <v>-54998.516249654567</v>
      </c>
      <c r="F75" s="568"/>
      <c r="G75" s="568">
        <f>$C$75</f>
        <v>-54998.516249654567</v>
      </c>
      <c r="H75" s="568"/>
      <c r="I75" s="568">
        <f>$C$75</f>
        <v>-54998.516249654567</v>
      </c>
      <c r="J75" s="568"/>
      <c r="K75" s="568">
        <f>$C$75</f>
        <v>-54998.516249654567</v>
      </c>
      <c r="L75" s="26"/>
      <c r="M75"/>
      <c r="N75"/>
    </row>
    <row r="76" spans="1:14" s="507" customFormat="1" ht="18.75" customHeight="1">
      <c r="A76"/>
      <c r="B76" s="567" t="s">
        <v>1096</v>
      </c>
      <c r="C76" s="568">
        <f>C70+C75</f>
        <v>25741.699750345448</v>
      </c>
      <c r="D76" s="568"/>
      <c r="E76" s="568">
        <f>E70+E75</f>
        <v>15779.563750345449</v>
      </c>
      <c r="F76" s="568"/>
      <c r="G76" s="568">
        <f>G70+G75</f>
        <v>22725.499750345436</v>
      </c>
      <c r="H76" s="568"/>
      <c r="I76" s="568">
        <f>I70+I75</f>
        <v>25141.699750345448</v>
      </c>
      <c r="J76" s="568"/>
      <c r="K76" s="568">
        <f>K70+K75</f>
        <v>10735.363750345437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14641816.182497175</v>
      </c>
    </row>
    <row r="5" spans="1:7">
      <c r="A5" s="953" t="s">
        <v>3447</v>
      </c>
      <c r="B5" s="954">
        <f>+B18+B26+B38</f>
        <v>491387.37889826851</v>
      </c>
    </row>
    <row r="6" spans="1:7">
      <c r="A6" s="953" t="s">
        <v>3417</v>
      </c>
      <c r="B6" s="955">
        <f>+B5-B4</f>
        <v>-14150428.803598907</v>
      </c>
    </row>
    <row r="7" spans="1:7">
      <c r="A7" s="953" t="s">
        <v>3418</v>
      </c>
      <c r="B7" s="956">
        <f>+B6/B4</f>
        <v>-0.96643945172008972</v>
      </c>
    </row>
    <row r="8" spans="1:7" ht="9" customHeight="1"/>
    <row r="9" spans="1:7">
      <c r="A9" s="953" t="s">
        <v>3419</v>
      </c>
      <c r="B9" s="954">
        <f>+B18+B26+B33</f>
        <v>491387.37889826851</v>
      </c>
    </row>
    <row r="10" spans="1:7">
      <c r="A10" s="953" t="s">
        <v>3417</v>
      </c>
      <c r="B10" s="955">
        <f>+B9-B4</f>
        <v>-14150428.803598907</v>
      </c>
    </row>
    <row r="11" spans="1:7">
      <c r="A11" s="953" t="s">
        <v>3418</v>
      </c>
      <c r="B11" s="956">
        <f>+B10/B4</f>
        <v>-0.96643945172008972</v>
      </c>
    </row>
    <row r="12" spans="1:7" ht="24" customHeight="1"/>
    <row r="13" spans="1:7">
      <c r="A13" s="952" t="s">
        <v>3420</v>
      </c>
      <c r="D13" s="1010" t="s">
        <v>3664</v>
      </c>
      <c r="E13" s="1011"/>
    </row>
    <row r="14" spans="1:7">
      <c r="A14" s="953" t="s">
        <v>3421</v>
      </c>
      <c r="B14" s="957">
        <f>+SUM('Part II-Sources of Funds'!L51:M52)</f>
        <v>13737600</v>
      </c>
      <c r="D14" s="1011"/>
      <c r="E14" s="1011"/>
    </row>
    <row r="15" spans="1:7">
      <c r="A15" s="953" t="s">
        <v>3422</v>
      </c>
      <c r="B15" s="958">
        <f>+'Part III-A-Uses of Funds'!J180</f>
        <v>1374181.6182497176</v>
      </c>
      <c r="D15" s="1011" t="s">
        <v>1895</v>
      </c>
      <c r="G15" s="1012">
        <f>'Part III-A-Uses of Funds'!J168</f>
        <v>17391911.137246329</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8271592.9368743543</v>
      </c>
    </row>
    <row r="20" spans="1:7">
      <c r="A20" s="953" t="s">
        <v>3425</v>
      </c>
      <c r="B20" s="957">
        <f>+B18-B14</f>
        <v>-13737600</v>
      </c>
      <c r="D20" s="1011" t="s">
        <v>3669</v>
      </c>
      <c r="G20" s="1014">
        <f>+B14-G19</f>
        <v>5466007.0631256457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900000</v>
      </c>
    </row>
    <row r="25" spans="1:7">
      <c r="A25" s="953" t="s">
        <v>3429</v>
      </c>
      <c r="B25" s="961">
        <f>IF('Part II-Sources of Funds'!E6="Yes","N/A",MAX(B46:P46))</f>
        <v>-4564.0416295694886</v>
      </c>
    </row>
    <row r="26" spans="1:7">
      <c r="A26" s="953" t="s">
        <v>3430</v>
      </c>
      <c r="B26" s="951">
        <f>IFERROR(PV('Part II-Sources of Funds'!K40,'Part II-Sources of Funds'!L40,B25+B45),B24)</f>
        <v>491387.37889826851</v>
      </c>
    </row>
    <row r="27" spans="1:7" ht="9" customHeight="1">
      <c r="B27" s="951"/>
    </row>
    <row r="28" spans="1:7">
      <c r="A28" s="953" t="s">
        <v>3431</v>
      </c>
      <c r="B28" s="962">
        <f>+B26-B24</f>
        <v>-408612.62110173149</v>
      </c>
      <c r="C28" s="963"/>
    </row>
    <row r="29" spans="1:7">
      <c r="A29" s="953" t="s">
        <v>3426</v>
      </c>
      <c r="B29" s="964">
        <f>+B28/B24</f>
        <v>-0.45401402344636832</v>
      </c>
    </row>
    <row r="30" spans="1:7" ht="24" customHeight="1"/>
    <row r="31" spans="1:7">
      <c r="A31" s="952" t="s">
        <v>3361</v>
      </c>
    </row>
    <row r="32" spans="1:7">
      <c r="A32" s="953" t="s">
        <v>3432</v>
      </c>
      <c r="B32" s="965">
        <f>+'Part II-Sources of Funds'!I45</f>
        <v>5590</v>
      </c>
    </row>
    <row r="33" spans="1:11">
      <c r="A33" s="953" t="s">
        <v>3433</v>
      </c>
      <c r="B33" s="951"/>
    </row>
    <row r="34" spans="1:11" ht="9" customHeight="1">
      <c r="B34" s="951"/>
    </row>
    <row r="35" spans="1:11">
      <c r="A35" s="953" t="s">
        <v>3434</v>
      </c>
      <c r="B35" s="965">
        <f>+B33-B32</f>
        <v>-5590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80740.216000000015</v>
      </c>
      <c r="C44" s="954">
        <f>+'Part VI-Pro Forma'!C25</f>
        <v>80074.440319999965</v>
      </c>
      <c r="D44" s="954">
        <f>+'Part VI-Pro Forma'!D25</f>
        <v>79325.87612640002</v>
      </c>
      <c r="E44" s="954">
        <f>+'Part VI-Pro Forma'!E25</f>
        <v>78493.43445892795</v>
      </c>
      <c r="F44" s="954">
        <f>+'Part VI-Pro Forma'!F25</f>
        <v>77570.908982406574</v>
      </c>
      <c r="G44" s="954">
        <f>+'Part VI-Pro Forma'!G25</f>
        <v>76554.971971383726</v>
      </c>
      <c r="H44" s="954">
        <f>+'Part VI-Pro Forma'!H25</f>
        <v>75442.170164420328</v>
      </c>
      <c r="I44" s="954">
        <f>+'Part VI-Pro Forma'!I25</f>
        <v>74226.920483925758</v>
      </c>
      <c r="J44" s="954">
        <f>+'Part VI-Pro Forma'!J25</f>
        <v>72906.505617307994</v>
      </c>
      <c r="K44" s="954">
        <f>+'Part VI-Pro Forma'!K25</f>
        <v>71475.069455068864</v>
      </c>
    </row>
    <row r="45" spans="1:11">
      <c r="A45" s="953" t="s">
        <v>3438</v>
      </c>
      <c r="B45" s="954">
        <f>SUM('Part VI-Pro Forma'!B26:B29)</f>
        <v>-54998.516249654567</v>
      </c>
      <c r="C45" s="954">
        <f>SUM('Part VI-Pro Forma'!C26:C29)</f>
        <v>-54998.516249654567</v>
      </c>
      <c r="D45" s="954">
        <f>SUM('Part VI-Pro Forma'!D26:D29)</f>
        <v>-54998.516249654567</v>
      </c>
      <c r="E45" s="954">
        <f>SUM('Part VI-Pro Forma'!E26:E29)</f>
        <v>-54998.516249654567</v>
      </c>
      <c r="F45" s="954">
        <f>SUM('Part VI-Pro Forma'!F26:F29)</f>
        <v>-54998.516249654567</v>
      </c>
      <c r="G45" s="954">
        <f>SUM('Part VI-Pro Forma'!G26:G29)</f>
        <v>-54998.516249654567</v>
      </c>
      <c r="H45" s="954">
        <f>SUM('Part VI-Pro Forma'!H26:H29)</f>
        <v>-54998.516249654567</v>
      </c>
      <c r="I45" s="954">
        <f>SUM('Part VI-Pro Forma'!I26:I29)</f>
        <v>-54998.516249654567</v>
      </c>
      <c r="J45" s="954">
        <f>SUM('Part VI-Pro Forma'!J26:J29)</f>
        <v>-54998.516249654567</v>
      </c>
      <c r="K45" s="954">
        <f>SUM('Part VI-Pro Forma'!K26:K29)</f>
        <v>-54998.516249654567</v>
      </c>
    </row>
    <row r="46" spans="1:11">
      <c r="A46" s="953" t="s">
        <v>3439</v>
      </c>
      <c r="B46" s="955">
        <f t="shared" ref="B46:K46" si="0">-B44/B48-B45</f>
        <v>-12284.997083678783</v>
      </c>
      <c r="C46" s="955">
        <f t="shared" si="0"/>
        <v>-11730.18401701207</v>
      </c>
      <c r="D46" s="955">
        <f t="shared" si="0"/>
        <v>-11106.380522345455</v>
      </c>
      <c r="E46" s="955">
        <f t="shared" si="0"/>
        <v>-10412.679132785393</v>
      </c>
      <c r="F46" s="955">
        <f t="shared" si="0"/>
        <v>-9643.9079023509112</v>
      </c>
      <c r="G46" s="955">
        <f t="shared" si="0"/>
        <v>-8797.2937264985376</v>
      </c>
      <c r="H46" s="955">
        <f t="shared" si="0"/>
        <v>-7869.9588873623725</v>
      </c>
      <c r="I46" s="955">
        <f t="shared" si="0"/>
        <v>-6857.250820283567</v>
      </c>
      <c r="J46" s="955">
        <f t="shared" si="0"/>
        <v>-5756.9050981020991</v>
      </c>
      <c r="K46" s="955">
        <f t="shared" si="0"/>
        <v>-4564.0416295694886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80740.216000000015</v>
      </c>
      <c r="C51" s="955">
        <f t="shared" ref="C51:K51" si="2">+C44</f>
        <v>80074.440319999965</v>
      </c>
      <c r="D51" s="955">
        <f t="shared" si="2"/>
        <v>79325.87612640002</v>
      </c>
      <c r="E51" s="955">
        <f t="shared" si="2"/>
        <v>78493.43445892795</v>
      </c>
      <c r="F51" s="955">
        <f t="shared" si="2"/>
        <v>77570.908982406574</v>
      </c>
      <c r="G51" s="955">
        <f t="shared" si="2"/>
        <v>76554.971971383726</v>
      </c>
      <c r="H51" s="955">
        <f t="shared" si="2"/>
        <v>75442.170164420328</v>
      </c>
      <c r="I51" s="955">
        <f t="shared" si="2"/>
        <v>74226.920483925758</v>
      </c>
      <c r="J51" s="955">
        <f t="shared" si="2"/>
        <v>72906.505617307994</v>
      </c>
      <c r="K51" s="955">
        <f t="shared" si="2"/>
        <v>71475.069455068864</v>
      </c>
    </row>
    <row r="52" spans="1:17">
      <c r="A52" s="953" t="s">
        <v>3441</v>
      </c>
      <c r="B52" s="955">
        <f>IF($B$25="N/A",B45,B45+$B$25)</f>
        <v>-59562.557879224056</v>
      </c>
      <c r="C52" s="955">
        <f t="shared" ref="C52:K52" si="3">IF($B$25="N/A",C45,C45+$B$25)</f>
        <v>-59562.557879224056</v>
      </c>
      <c r="D52" s="955">
        <f t="shared" si="3"/>
        <v>-59562.557879224056</v>
      </c>
      <c r="E52" s="955">
        <f t="shared" si="3"/>
        <v>-59562.557879224056</v>
      </c>
      <c r="F52" s="955">
        <f t="shared" si="3"/>
        <v>-59562.557879224056</v>
      </c>
      <c r="G52" s="955">
        <f t="shared" si="3"/>
        <v>-59562.557879224056</v>
      </c>
      <c r="H52" s="955">
        <f t="shared" si="3"/>
        <v>-59562.557879224056</v>
      </c>
      <c r="I52" s="955">
        <f t="shared" si="3"/>
        <v>-59562.557879224056</v>
      </c>
      <c r="J52" s="955">
        <f t="shared" si="3"/>
        <v>-59562.557879224056</v>
      </c>
      <c r="K52" s="955">
        <f t="shared" si="3"/>
        <v>-59562.557879224056</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13677.658120775959</v>
      </c>
      <c r="C54" s="955">
        <f t="shared" ref="C54:K54" si="4">+SUM(C51:C53)</f>
        <v>13011.882440775909</v>
      </c>
      <c r="D54" s="955">
        <f t="shared" si="4"/>
        <v>12263.318247175965</v>
      </c>
      <c r="E54" s="955">
        <f t="shared" si="4"/>
        <v>11430.876579703894</v>
      </c>
      <c r="F54" s="955">
        <f t="shared" si="4"/>
        <v>10508.351103182518</v>
      </c>
      <c r="G54" s="955">
        <f t="shared" si="4"/>
        <v>9492.41409215967</v>
      </c>
      <c r="H54" s="955">
        <f t="shared" si="4"/>
        <v>8379.6122851962718</v>
      </c>
      <c r="I54" s="955">
        <f t="shared" si="4"/>
        <v>7164.3626047017024</v>
      </c>
      <c r="J54" s="955">
        <f t="shared" si="4"/>
        <v>5843.947738083938</v>
      </c>
      <c r="K54" s="955">
        <f t="shared" si="4"/>
        <v>4412.5115758448082</v>
      </c>
    </row>
    <row r="55" spans="1:17">
      <c r="A55" s="953" t="s">
        <v>3361</v>
      </c>
      <c r="B55" s="955">
        <f>-B54</f>
        <v>-13677.658120775959</v>
      </c>
      <c r="C55" s="955">
        <f t="shared" ref="C55:K55" si="5">-C54</f>
        <v>-13011.882440775909</v>
      </c>
      <c r="D55" s="955">
        <f t="shared" si="5"/>
        <v>-12263.318247175965</v>
      </c>
      <c r="E55" s="955">
        <f t="shared" si="5"/>
        <v>-11430.876579703894</v>
      </c>
      <c r="F55" s="955">
        <f t="shared" si="5"/>
        <v>-10508.351103182518</v>
      </c>
      <c r="G55" s="955">
        <f t="shared" si="5"/>
        <v>-9492.41409215967</v>
      </c>
      <c r="H55" s="955">
        <f t="shared" si="5"/>
        <v>-8379.6122851962718</v>
      </c>
      <c r="I55" s="955">
        <f t="shared" si="5"/>
        <v>-7164.3626047017024</v>
      </c>
      <c r="J55" s="955">
        <f t="shared" si="5"/>
        <v>-5843.947738083938</v>
      </c>
      <c r="K55" s="955">
        <f t="shared" si="5"/>
        <v>-4412.5115758448082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449104.99201354187</v>
      </c>
      <c r="C58" s="954">
        <f>IF($B$26="","",-FV('Part II-Sources of Funds'!$K$40/12,12,C52/12,B58))</f>
        <v>405248.84411740268</v>
      </c>
      <c r="D58" s="954">
        <f>IF($B$26="","",-FV('Part II-Sources of Funds'!$K$40/12,12,D52/12,C58))</f>
        <v>359760.35943152988</v>
      </c>
      <c r="E58" s="954">
        <f>IF($B$26="","",-FV('Part II-Sources of Funds'!$K$40/12,12,E52/12,D58))</f>
        <v>312578.78197248804</v>
      </c>
      <c r="F58" s="954">
        <f>IF($B$26="","",-FV('Part II-Sources of Funds'!$K$40/12,12,F52/12,E58))</f>
        <v>263641.09440394805</v>
      </c>
      <c r="G58" s="954">
        <f>IF($B$26="","",-FV('Part II-Sources of Funds'!$K$40/12,12,G52/12,F58))</f>
        <v>212881.93386856662</v>
      </c>
      <c r="H58" s="954">
        <f>IF($B$26="","",-FV('Part II-Sources of Funds'!$K$40/12,12,H52/12,G58))</f>
        <v>160233.50468710807</v>
      </c>
      <c r="I58" s="954">
        <f>IF($B$26="","",-FV('Part II-Sources of Funds'!$K$40/12,12,I52/12,H58))</f>
        <v>105625.48780820507</v>
      </c>
      <c r="J58" s="954">
        <f>IF($B$26="","",-FV('Part II-Sources of Funds'!$K$40/12,12,J52/12,I58))</f>
        <v>48984.946887817045</v>
      </c>
      <c r="K58" s="954">
        <f>IF($B$26="","",-FV('Part II-Sources of Funds'!$K$40/12,12,K52/12,J58))</f>
        <v>-9763.7691270575597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69928.612381347411</v>
      </c>
      <c r="C64" s="954">
        <f>+'Part VI-Pro Forma'!C57</f>
        <v>68261.986412266837</v>
      </c>
      <c r="D64" s="954">
        <f>+'Part VI-Pro Forma'!D57</f>
        <v>66469.890177303518</v>
      </c>
      <c r="E64" s="954">
        <f>+'Part VI-Pro Forma'!E57</f>
        <v>64547.863738744651</v>
      </c>
      <c r="F64" s="954">
        <f>+'Part VI-Pro Forma'!F57</f>
        <v>62489.283244151447</v>
      </c>
      <c r="G64" s="954">
        <f>+'Part VI-Pro Forma'!G57</f>
        <v>60289.355406585135</v>
      </c>
      <c r="H64" s="954">
        <f>+'Part VI-Pro Forma'!H57</f>
        <v>57941.111807194429</v>
      </c>
      <c r="I64" s="954">
        <f>+'Part VI-Pro Forma'!I57</f>
        <v>55439.403014590032</v>
      </c>
      <c r="J64" s="954">
        <f>+'Part VI-Pro Forma'!J57</f>
        <v>52778.892515270956</v>
      </c>
      <c r="K64" s="954">
        <f>+'Part VI-Pro Forma'!K57</f>
        <v>49951.050449177317</v>
      </c>
    </row>
    <row r="65" spans="1:11">
      <c r="A65" s="953" t="s">
        <v>3438</v>
      </c>
      <c r="B65" s="954">
        <f>SUM('Part VI-Pro Forma'!B58:B61)</f>
        <v>-52047.243378441242</v>
      </c>
      <c r="C65" s="954">
        <f>SUM('Part VI-Pro Forma'!C58:C61)</f>
        <v>-52047.243378441242</v>
      </c>
      <c r="D65" s="954">
        <f>SUM('Part VI-Pro Forma'!D58:D61)</f>
        <v>-52047.243378441242</v>
      </c>
      <c r="E65" s="954">
        <f>SUM('Part VI-Pro Forma'!E58:E61)</f>
        <v>-52047.243378441242</v>
      </c>
      <c r="F65" s="954">
        <f>SUM('Part VI-Pro Forma'!F58:F61)</f>
        <v>-52047.243378441242</v>
      </c>
      <c r="G65" s="954">
        <f>SUM('Part VI-Pro Forma'!G58:G61)</f>
        <v>-52047.243378441242</v>
      </c>
      <c r="H65" s="954">
        <f>SUM('Part VI-Pro Forma'!H58:H61)</f>
        <v>-52047.243378441242</v>
      </c>
      <c r="I65" s="954">
        <f>SUM('Part VI-Pro Forma'!I58:I61)</f>
        <v>-52047.243378441242</v>
      </c>
      <c r="J65" s="954">
        <f>SUM('Part VI-Pro Forma'!J58:J61)</f>
        <v>-52047.243378441242</v>
      </c>
      <c r="K65" s="954">
        <f>SUM('Part VI-Pro Forma'!K58:K61)</f>
        <v>-52047.243378441242</v>
      </c>
    </row>
    <row r="66" spans="1:11">
      <c r="A66" s="953" t="s">
        <v>3439</v>
      </c>
      <c r="B66" s="955">
        <f t="shared" ref="B66:K66" si="7">-B64/B68-B65</f>
        <v>-6226.6002726816005</v>
      </c>
      <c r="C66" s="955">
        <f t="shared" si="7"/>
        <v>-4837.7452984477932</v>
      </c>
      <c r="D66" s="955">
        <f t="shared" si="7"/>
        <v>-3344.3317693116915</v>
      </c>
      <c r="E66" s="955">
        <f t="shared" si="7"/>
        <v>-1742.6430705126331</v>
      </c>
      <c r="F66" s="955">
        <f t="shared" si="7"/>
        <v>-27.159325018299569</v>
      </c>
      <c r="G66" s="955">
        <f t="shared" si="7"/>
        <v>1806.1138729536251</v>
      </c>
      <c r="H66" s="955">
        <f t="shared" si="7"/>
        <v>3762.9835391125525</v>
      </c>
      <c r="I66" s="955">
        <f t="shared" si="7"/>
        <v>5847.7408662828821</v>
      </c>
      <c r="J66" s="955">
        <f t="shared" si="7"/>
        <v>8064.832949048774</v>
      </c>
      <c r="K66" s="955">
        <f t="shared" si="7"/>
        <v>10421.368004126809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69928.612381347411</v>
      </c>
      <c r="C71" s="955">
        <f t="shared" si="9"/>
        <v>68261.986412266837</v>
      </c>
      <c r="D71" s="955">
        <f t="shared" si="9"/>
        <v>66469.890177303518</v>
      </c>
      <c r="E71" s="955">
        <f t="shared" si="9"/>
        <v>64547.863738744651</v>
      </c>
      <c r="F71" s="955">
        <f t="shared" si="9"/>
        <v>62489.283244151447</v>
      </c>
      <c r="G71" s="955">
        <f t="shared" si="9"/>
        <v>60289.355406585135</v>
      </c>
      <c r="H71" s="955">
        <f>+H64</f>
        <v>57941.111807194429</v>
      </c>
      <c r="I71" s="955">
        <f>+I64</f>
        <v>55439.403014590032</v>
      </c>
      <c r="J71" s="955">
        <f>+J64</f>
        <v>52778.892515270956</v>
      </c>
      <c r="K71" s="955">
        <f>+K64</f>
        <v>49951.050449177317</v>
      </c>
    </row>
    <row r="72" spans="1:11">
      <c r="A72" s="953" t="s">
        <v>3441</v>
      </c>
      <c r="B72" s="955">
        <f t="shared" ref="B72:G72" si="10">IF($B$25="N/A",B65,B65+$B$25)</f>
        <v>-56611.285008010731</v>
      </c>
      <c r="C72" s="955">
        <f t="shared" si="10"/>
        <v>-56611.285008010731</v>
      </c>
      <c r="D72" s="955">
        <f t="shared" si="10"/>
        <v>-56611.285008010731</v>
      </c>
      <c r="E72" s="955">
        <f t="shared" si="10"/>
        <v>-56611.285008010731</v>
      </c>
      <c r="F72" s="955">
        <f t="shared" si="10"/>
        <v>-56611.285008010731</v>
      </c>
      <c r="G72" s="955">
        <f t="shared" si="10"/>
        <v>-56611.285008010731</v>
      </c>
      <c r="H72" s="955">
        <f>IF($B$25="N/A",H65,H65+$B$25)</f>
        <v>-56611.285008010731</v>
      </c>
      <c r="I72" s="955">
        <f>IF($B$25="N/A",I65,I65+$B$25)</f>
        <v>-56611.285008010731</v>
      </c>
      <c r="J72" s="955">
        <f>IF($B$25="N/A",J65,J65+$B$25)</f>
        <v>-56611.285008010731</v>
      </c>
      <c r="K72" s="955">
        <f>IF($B$25="N/A",K65,K65+$B$25)</f>
        <v>-56611.285008010731</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5817.3273733366805</v>
      </c>
      <c r="C74" s="955">
        <f t="shared" si="11"/>
        <v>4150.7014042561059</v>
      </c>
      <c r="D74" s="955">
        <f t="shared" si="11"/>
        <v>2358.6051692927867</v>
      </c>
      <c r="E74" s="955">
        <f t="shared" si="11"/>
        <v>436.57873073391966</v>
      </c>
      <c r="F74" s="955">
        <f t="shared" si="11"/>
        <v>-1622.0017638592835</v>
      </c>
      <c r="G74" s="955">
        <f t="shared" si="11"/>
        <v>-3821.929601425596</v>
      </c>
      <c r="H74" s="955">
        <f>+SUM(H71:H73)</f>
        <v>-6170.1732008163017</v>
      </c>
      <c r="I74" s="955">
        <f>+SUM(I71:I73)</f>
        <v>-8671.8819934206986</v>
      </c>
      <c r="J74" s="955">
        <f>+SUM(J71:J73)</f>
        <v>-11332.392492739775</v>
      </c>
      <c r="K74" s="955">
        <f>+SUM(K71:K73)</f>
        <v>-14160.234558833414</v>
      </c>
    </row>
    <row r="75" spans="1:11">
      <c r="A75" s="953" t="s">
        <v>3361</v>
      </c>
      <c r="B75" s="955">
        <f t="shared" ref="B75:G75" si="12">-B74</f>
        <v>-5817.3273733366805</v>
      </c>
      <c r="C75" s="955">
        <f t="shared" si="12"/>
        <v>-4150.7014042561059</v>
      </c>
      <c r="D75" s="955">
        <f t="shared" si="12"/>
        <v>-2358.6051692927867</v>
      </c>
      <c r="E75" s="955">
        <f t="shared" si="12"/>
        <v>-436.57873073391966</v>
      </c>
      <c r="F75" s="955">
        <f t="shared" si="12"/>
        <v>1622.0017638592835</v>
      </c>
      <c r="G75" s="955">
        <f t="shared" si="12"/>
        <v>3821.929601425596</v>
      </c>
      <c r="H75" s="955">
        <f>-H74</f>
        <v>6170.1732008163017</v>
      </c>
      <c r="I75" s="955">
        <f>-I74</f>
        <v>8671.8819934206986</v>
      </c>
      <c r="J75" s="955">
        <f>-J74</f>
        <v>11332.392492739775</v>
      </c>
      <c r="K75" s="955">
        <f>-K74</f>
        <v>14160.234558833414</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-67697.839768608668</v>
      </c>
      <c r="C78" s="954">
        <f>IF($B$26="","",-FV('Part II-Sources of Funds'!$K$40/12,12,C72/12,B78))</f>
        <v>-127788.23100428004</v>
      </c>
      <c r="D78" s="954">
        <f>IF($B$26="","",-FV('Part II-Sources of Funds'!$K$40/12,12,D72/12,C78))</f>
        <v>-190115.20162571425</v>
      </c>
      <c r="E78" s="954">
        <f>IF($B$26="","",-FV('Part II-Sources of Funds'!$K$40/12,12,E72/12,D78))</f>
        <v>-254761.99767684535</v>
      </c>
      <c r="F78" s="954">
        <f>IF($B$26="","",-FV('Part II-Sources of Funds'!$K$40/12,12,F72/12,E78))</f>
        <v>-321814.96364017605</v>
      </c>
      <c r="G78" s="954">
        <f>IF($B$26="","",-FV('Part II-Sources of Funds'!$K$40/12,12,G72/12,F78))</f>
        <v>-391363.6577614359</v>
      </c>
      <c r="H78" s="954">
        <f>IF($B$26="","",-FV('Part II-Sources of Funds'!$K$40/12,12,H72/12,G78))</f>
        <v>-463500.97166665207</v>
      </c>
      <c r="I78" s="954">
        <f>IF($B$26="","",-FV('Part II-Sources of Funds'!$K$40/12,12,I72/12,H78))</f>
        <v>-538323.25443139754</v>
      </c>
      <c r="J78" s="954">
        <f>IF($B$26="","",-FV('Part II-Sources of Funds'!$K$40/12,12,J72/12,I78))</f>
        <v>-615930.44126792753</v>
      </c>
      <c r="K78" s="954">
        <f>IF($B$26="","",-FV('Part II-Sources of Funds'!$K$40/12,12,K72/12,J78))</f>
        <v>-696426.18700208364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Windsor Crossing</v>
      </c>
    </row>
    <row r="2" spans="1:15" ht="13.5" customHeight="1"/>
    <row r="3" spans="1:15" ht="13.5" customHeight="1">
      <c r="A3" s="517" t="s">
        <v>2706</v>
      </c>
      <c r="C3" s="516" t="s">
        <v>2707</v>
      </c>
      <c r="E3" s="586">
        <f>SUM('Part III-A-Uses of Funds'!J162,'Part III-A-Uses of Funds'!M162,'Part III-A-Uses of Funds'!P162)</f>
        <v>13378393.182497175</v>
      </c>
      <c r="F3" s="1024" t="s">
        <v>2708</v>
      </c>
      <c r="H3" s="1006">
        <v>27.5</v>
      </c>
      <c r="I3" s="516" t="s">
        <v>2273</v>
      </c>
      <c r="K3" s="521" t="s">
        <v>2729</v>
      </c>
      <c r="M3" s="1024"/>
      <c r="O3" s="587"/>
    </row>
    <row r="4" spans="1:15" ht="13.5" customHeight="1">
      <c r="C4" s="516" t="s">
        <v>3127</v>
      </c>
      <c r="E4" s="586">
        <f>SUM('Part III-A-Uses of Funds'!G97:H101)</f>
        <v>45500</v>
      </c>
      <c r="F4" s="1024" t="s">
        <v>3661</v>
      </c>
      <c r="H4" s="517">
        <f>'Part II-Sources of Funds'!M40</f>
        <v>25</v>
      </c>
      <c r="I4" s="516" t="s">
        <v>2273</v>
      </c>
      <c r="K4" s="588" t="s">
        <v>2957</v>
      </c>
      <c r="M4" s="1024"/>
    </row>
    <row r="5" spans="1:15" ht="13.5" customHeight="1">
      <c r="C5" s="516" t="s">
        <v>3128</v>
      </c>
      <c r="E5" s="586">
        <f>SUM('Part III-A-Uses of Funds'!G105:H111)</f>
        <v>153400</v>
      </c>
      <c r="F5" s="1024" t="s">
        <v>3660</v>
      </c>
      <c r="H5" s="1006">
        <v>15</v>
      </c>
      <c r="I5" s="516" t="s">
        <v>2273</v>
      </c>
      <c r="K5" s="587">
        <f>-E6</f>
        <v>-13736226</v>
      </c>
    </row>
    <row r="6" spans="1:15" ht="13.5" customHeight="1">
      <c r="C6" s="516" t="s">
        <v>2709</v>
      </c>
      <c r="E6" s="589">
        <f>'Part II-Sources of Funds'!$I$51+'Part II-Sources of Funds'!$I$52</f>
        <v>13736226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12651.699750345448</v>
      </c>
      <c r="D9" s="594">
        <f>'Part VI-Pro Forma'!C33</f>
        <v>17575.924070345398</v>
      </c>
      <c r="E9" s="594">
        <f>'Part VI-Pro Forma'!D33</f>
        <v>16827.359876745453</v>
      </c>
      <c r="F9" s="594">
        <f>'Part VI-Pro Forma'!E33</f>
        <v>15994.918209273383</v>
      </c>
      <c r="G9" s="594">
        <f>'Part VI-Pro Forma'!F33</f>
        <v>15072.392732752007</v>
      </c>
      <c r="H9" s="594">
        <f>'Part VI-Pro Forma'!G33</f>
        <v>14056.455721729159</v>
      </c>
      <c r="I9" s="594">
        <f>'Part VI-Pro Forma'!H33</f>
        <v>12943.65391476576</v>
      </c>
      <c r="K9" s="587" t="e">
        <f>F24</f>
        <v>#VALUE!</v>
      </c>
      <c r="N9" s="595" t="s">
        <v>2715</v>
      </c>
    </row>
    <row r="10" spans="1:15" ht="13.5" customHeight="1">
      <c r="A10" s="516" t="s">
        <v>2714</v>
      </c>
      <c r="C10" s="978">
        <f>'Part II-Sources of Funds'!I40-'Part VI-Pro Forma'!B40</f>
        <v>22432.335790856509</v>
      </c>
      <c r="D10" s="596">
        <f>'Part VI-Pro Forma'!B40-'Part VI-Pro Forma'!C40</f>
        <v>23267.272937588743</v>
      </c>
      <c r="E10" s="596">
        <f>'Part VI-Pro Forma'!C40-'Part VI-Pro Forma'!D40</f>
        <v>24133.286653675837</v>
      </c>
      <c r="F10" s="596">
        <f>'Part VI-Pro Forma'!D40-'Part VI-Pro Forma'!E40</f>
        <v>25031.533616798813</v>
      </c>
      <c r="G10" s="596">
        <f>'Part VI-Pro Forma'!E40-'Part VI-Pro Forma'!F40</f>
        <v>25963.21355647163</v>
      </c>
      <c r="H10" s="596">
        <f>'Part VI-Pro Forma'!F40-'Part VI-Pro Forma'!G40</f>
        <v>26929.57085644023</v>
      </c>
      <c r="I10" s="596">
        <f>'Part VI-Pro Forma'!G40-'Part VI-Pro Forma'!H40</f>
        <v>27931.896216725116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-11000</v>
      </c>
      <c r="D13" s="979">
        <f>'Part VI-Pro Forma'!C23</f>
        <v>-11330</v>
      </c>
      <c r="E13" s="979">
        <f>'Part VI-Pro Forma'!D23</f>
        <v>-11669.9</v>
      </c>
      <c r="F13" s="979">
        <f>'Part VI-Pro Forma'!E23</f>
        <v>-12019.996999999999</v>
      </c>
      <c r="G13" s="979">
        <f>'Part VI-Pro Forma'!F23</f>
        <v>-12380.596909999998</v>
      </c>
      <c r="H13" s="979">
        <f>'Part VI-Pro Forma'!G23</f>
        <v>-12752.014817299998</v>
      </c>
      <c r="I13" s="979">
        <f>'Part VI-Pro Forma'!H23</f>
        <v>-13134.575261819</v>
      </c>
      <c r="K13" s="587" t="e">
        <f>C44</f>
        <v>#VALUE!</v>
      </c>
      <c r="O13" s="592"/>
    </row>
    <row r="14" spans="1:15" ht="13.5" customHeight="1">
      <c r="A14" s="598" t="s">
        <v>3130</v>
      </c>
      <c r="B14" s="598"/>
      <c r="C14" s="979">
        <f>'Part VI-Pro Forma'!B32</f>
        <v>-5590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486487.02481807908</v>
      </c>
      <c r="D15" s="599">
        <f t="shared" si="0"/>
        <v>486487.02481807908</v>
      </c>
      <c r="E15" s="599">
        <f t="shared" si="0"/>
        <v>486487.02481807908</v>
      </c>
      <c r="F15" s="599">
        <f t="shared" si="0"/>
        <v>486487.02481807908</v>
      </c>
      <c r="G15" s="599">
        <f t="shared" si="0"/>
        <v>486487.02481807908</v>
      </c>
      <c r="H15" s="599">
        <f t="shared" si="0"/>
        <v>486487.02481807908</v>
      </c>
      <c r="I15" s="599">
        <f t="shared" si="0"/>
        <v>486487.02481807908</v>
      </c>
      <c r="K15" s="587" t="e">
        <f>E44</f>
        <v>#VALUE!</v>
      </c>
      <c r="O15" s="592"/>
    </row>
    <row r="16" spans="1:15" ht="13.5" customHeight="1">
      <c r="A16" s="516" t="s">
        <v>2719</v>
      </c>
      <c r="C16" s="599">
        <f>IF(C$8&lt;=$H$4,($E$4/$H$4),0)+IF(C$8&lt;=$H$5,($E$5/$H$5),0)</f>
        <v>12046.666666666666</v>
      </c>
      <c r="D16" s="599">
        <f t="shared" ref="D16:I16" si="1">IF(D$8&lt;=$H$4,($E$4/$H$4),0)+IF(D$8&lt;=$H$5,($E$5/$H$5),0)</f>
        <v>12046.666666666666</v>
      </c>
      <c r="E16" s="599">
        <f t="shared" si="1"/>
        <v>12046.666666666666</v>
      </c>
      <c r="F16" s="599">
        <f t="shared" si="1"/>
        <v>12046.666666666666</v>
      </c>
      <c r="G16" s="599">
        <f t="shared" si="1"/>
        <v>12046.666666666666</v>
      </c>
      <c r="H16" s="599">
        <f t="shared" si="1"/>
        <v>12046.666666666666</v>
      </c>
      <c r="I16" s="599">
        <f t="shared" si="1"/>
        <v>12046.666666666666</v>
      </c>
      <c r="K16" s="587" t="e">
        <f>F44</f>
        <v>#VALUE!</v>
      </c>
      <c r="M16" s="516" t="s">
        <v>2723</v>
      </c>
      <c r="O16" s="592">
        <f>E3</f>
        <v>13378393.182497175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9729740.4963615816</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3648652.6861355938</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1080000</v>
      </c>
      <c r="D21" s="600">
        <f t="shared" ref="D21:I21" si="5">C21</f>
        <v>1080000</v>
      </c>
      <c r="E21" s="600">
        <f t="shared" si="5"/>
        <v>1080000</v>
      </c>
      <c r="F21" s="600">
        <f t="shared" si="5"/>
        <v>1080000</v>
      </c>
      <c r="G21" s="600">
        <f t="shared" si="5"/>
        <v>1080000</v>
      </c>
      <c r="H21" s="600">
        <f t="shared" si="5"/>
        <v>1080000</v>
      </c>
      <c r="I21" s="600">
        <f t="shared" si="5"/>
        <v>1080000</v>
      </c>
      <c r="J21" s="516" t="s">
        <v>233</v>
      </c>
      <c r="K21" s="587" t="e">
        <f>D64</f>
        <v>#VALUE!</v>
      </c>
      <c r="O21" s="592"/>
    </row>
    <row r="22" spans="1:17" ht="13.5" customHeight="1">
      <c r="A22" s="516" t="s">
        <v>2726</v>
      </c>
      <c r="C22" s="600">
        <f>C21</f>
        <v>1080000</v>
      </c>
      <c r="D22" s="600">
        <f t="shared" ref="D22:I22" si="6">D21</f>
        <v>1080000</v>
      </c>
      <c r="E22" s="600">
        <f t="shared" si="6"/>
        <v>1080000</v>
      </c>
      <c r="F22" s="600">
        <f t="shared" si="6"/>
        <v>1080000</v>
      </c>
      <c r="G22" s="600">
        <f t="shared" si="6"/>
        <v>1080000</v>
      </c>
      <c r="H22" s="600">
        <f t="shared" si="6"/>
        <v>1080000</v>
      </c>
      <c r="I22" s="600">
        <f t="shared" si="6"/>
        <v>1080000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3648652.6861355938</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-3648652.6861355938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11728.404234271191</v>
      </c>
      <c r="D29" s="594">
        <f>'Part VI-Pro Forma'!J33</f>
        <v>10407.989367653427</v>
      </c>
      <c r="E29" s="594">
        <f>'Part VI-Pro Forma'!K33</f>
        <v>8976.5532054142968</v>
      </c>
      <c r="F29" s="594">
        <f>'Part VI-Pro Forma'!B65</f>
        <v>10381.369002906169</v>
      </c>
      <c r="G29" s="594">
        <f>'Part VI-Pro Forma'!C65</f>
        <v>8714.7430338255945</v>
      </c>
      <c r="H29" s="594">
        <f>'Part VI-Pro Forma'!D65</f>
        <v>6922.6467988622753</v>
      </c>
      <c r="I29" s="594">
        <f>'Part VI-Pro Forma'!E65</f>
        <v>5000.6203603034082</v>
      </c>
      <c r="N29" s="603"/>
      <c r="O29" s="603"/>
    </row>
    <row r="30" spans="1:17" ht="13.5" customHeight="1">
      <c r="A30" s="516" t="s">
        <v>2714</v>
      </c>
      <c r="C30" s="596">
        <f>'Part VI-Pro Forma'!H40-'Part VI-Pro Forma'!I40</f>
        <v>28971.528377524111</v>
      </c>
      <c r="D30" s="596">
        <f>'Part VI-Pro Forma'!I40-'Part VI-Pro Forma'!J40</f>
        <v>30049.855907279765</v>
      </c>
      <c r="E30" s="596">
        <f>'Part VI-Pro Forma'!J40-'Part VI-Pro Forma'!K40</f>
        <v>31168.319057299523</v>
      </c>
      <c r="F30" s="976">
        <f>'Part VI-Pro Forma'!K40-'Part VI-Pro Forma'!B72</f>
        <v>10249.803053570911</v>
      </c>
      <c r="G30" s="976">
        <f>'Part VI-Pro Forma'!B72-'Part VI-Pro Forma'!C72</f>
        <v>10951.489334764308</v>
      </c>
      <c r="H30" s="976">
        <f>'Part VI-Pro Forma'!C72-'Part VI-Pro Forma'!D72</f>
        <v>11701.212015744299</v>
      </c>
      <c r="I30" s="976">
        <f>'Part VI-Pro Forma'!D72-'Part VI-Pro Forma'!E72</f>
        <v>12502.259597036405</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-729730.53722711885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-13528.61251967357</v>
      </c>
      <c r="D33" s="979">
        <f>'Part VI-Pro Forma'!J23</f>
        <v>-13934.470895263776</v>
      </c>
      <c r="E33" s="979">
        <f>'Part VI-Pro Forma'!K23</f>
        <v>-14352.50502212169</v>
      </c>
      <c r="F33" s="979">
        <f>'Part VI-Pro Forma'!B55</f>
        <v>-14783.08017278534</v>
      </c>
      <c r="G33" s="979">
        <f>'Part VI-Pro Forma'!C55</f>
        <v>-15226.5725779689</v>
      </c>
      <c r="H33" s="979">
        <f>'Part VI-Pro Forma'!D55</f>
        <v>-15683.369755307966</v>
      </c>
      <c r="I33" s="979">
        <f>'Part VI-Pro Forma'!E55</f>
        <v>-16153.870847967202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486487.02481807908</v>
      </c>
      <c r="D35" s="599">
        <f t="shared" si="8"/>
        <v>486487.02481807908</v>
      </c>
      <c r="E35" s="599">
        <f t="shared" si="8"/>
        <v>486487.02481807908</v>
      </c>
      <c r="F35" s="599">
        <f t="shared" si="8"/>
        <v>486487.02481807908</v>
      </c>
      <c r="G35" s="599">
        <f t="shared" si="8"/>
        <v>486487.02481807908</v>
      </c>
      <c r="H35" s="599">
        <f t="shared" si="8"/>
        <v>486487.02481807908</v>
      </c>
      <c r="I35" s="599">
        <f t="shared" si="8"/>
        <v>486487.02481807908</v>
      </c>
    </row>
    <row r="36" spans="1:15" ht="13.5" customHeight="1">
      <c r="A36" s="516" t="s">
        <v>2719</v>
      </c>
      <c r="C36" s="594">
        <f>IF(C$28&lt;=$H$4,($E$4/$H$4),0)+IF(C$28&lt;=$H$5,($E$5/$H$5),0)</f>
        <v>12046.666666666666</v>
      </c>
      <c r="D36" s="594">
        <f t="shared" ref="D36:I36" si="9">IF(D$28&lt;=$H$4,($E$4/$H$4),0)+IF(D$28&lt;=$H$5,($E$5/$H$5),0)</f>
        <v>12046.666666666666</v>
      </c>
      <c r="E36" s="594">
        <f t="shared" si="9"/>
        <v>12046.666666666666</v>
      </c>
      <c r="F36" s="594">
        <f t="shared" si="9"/>
        <v>12046.666666666666</v>
      </c>
      <c r="G36" s="594">
        <f t="shared" si="9"/>
        <v>12046.666666666666</v>
      </c>
      <c r="H36" s="594">
        <f t="shared" si="9"/>
        <v>12046.666666666666</v>
      </c>
      <c r="I36" s="594">
        <f t="shared" si="9"/>
        <v>12046.666666666666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1080000</v>
      </c>
      <c r="D41" s="600">
        <f>C41</f>
        <v>1080000</v>
      </c>
      <c r="E41" s="600">
        <f>D41</f>
        <v>1080000</v>
      </c>
      <c r="F41" s="600">
        <v>0</v>
      </c>
      <c r="G41" s="600">
        <v>0</v>
      </c>
      <c r="H41" s="600">
        <v>0</v>
      </c>
      <c r="I41" s="600">
        <v>0</v>
      </c>
    </row>
    <row r="42" spans="1:15" ht="13.5" customHeight="1">
      <c r="A42" s="516" t="s">
        <v>2726</v>
      </c>
      <c r="C42" s="600">
        <f>C22</f>
        <v>1080000</v>
      </c>
      <c r="D42" s="600">
        <f>C42</f>
        <v>1080000</v>
      </c>
      <c r="E42" s="600">
        <f>D42</f>
        <v>1080000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2942.039865710205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13358.145705023897</v>
      </c>
      <c r="D50" s="977">
        <f>'Part VI-Pro Forma'!F72-'Part VI-Pro Forma'!G72</f>
        <v>14272.624503729399</v>
      </c>
      <c r="E50" s="977">
        <f>'Part VI-Pro Forma'!G72-'Part VI-Pro Forma'!H72</f>
        <v>15249.707161664264</v>
      </c>
      <c r="F50" s="977">
        <f>'Part VI-Pro Forma'!H72-'Part VI-Pro Forma'!I72</f>
        <v>16293.679445973597</v>
      </c>
      <c r="G50" s="977">
        <f>'Part VI-Pro Forma'!I72-'Part VI-Pro Forma'!J72</f>
        <v>17409.120521050529</v>
      </c>
      <c r="H50" s="977">
        <f>'Part VI-Pro Forma'!J72-'Part VI-Pro Forma'!K72</f>
        <v>18600.92303407623</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-16638.486973406219</v>
      </c>
      <c r="D53" s="979">
        <f>'Part VI-Pro Forma'!G55</f>
        <v>-17137.641582608408</v>
      </c>
      <c r="E53" s="979">
        <f>'Part VI-Pro Forma'!H55</f>
        <v>-17651.770830086658</v>
      </c>
      <c r="F53" s="979">
        <f>'Part VI-Pro Forma'!I55</f>
        <v>-18181.323954989257</v>
      </c>
      <c r="G53" s="979">
        <f>'Part VI-Pro Forma'!J55</f>
        <v>-18726.763673638936</v>
      </c>
      <c r="H53" s="979">
        <f>'Part VI-Pro Forma'!K55</f>
        <v>-19288.566583848104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486487.02481807908</v>
      </c>
      <c r="D55" s="599">
        <f t="shared" si="14"/>
        <v>486487.02481807908</v>
      </c>
      <c r="E55" s="599">
        <f t="shared" si="14"/>
        <v>486487.02481807908</v>
      </c>
      <c r="F55" s="599">
        <f t="shared" si="14"/>
        <v>486487.02481807908</v>
      </c>
      <c r="G55" s="599">
        <f t="shared" si="14"/>
        <v>486487.02481807908</v>
      </c>
      <c r="H55" s="599">
        <f t="shared" si="14"/>
        <v>486487.02481807908</v>
      </c>
    </row>
    <row r="56" spans="1:10" ht="13.5" customHeight="1">
      <c r="A56" s="516" t="s">
        <v>2719</v>
      </c>
      <c r="C56" s="594">
        <f t="shared" ref="C56:H56" si="15">IF(C$48&lt;=$H$4,($E$4/$H$4),0)+IF(C$48&lt;=$H$5,($E$5/$H$5),0)</f>
        <v>12046.666666666666</v>
      </c>
      <c r="D56" s="594">
        <f t="shared" si="15"/>
        <v>1820</v>
      </c>
      <c r="E56" s="594">
        <f t="shared" si="15"/>
        <v>1820</v>
      </c>
      <c r="F56" s="594">
        <f t="shared" si="15"/>
        <v>1820</v>
      </c>
      <c r="G56" s="594">
        <f t="shared" si="15"/>
        <v>1820</v>
      </c>
      <c r="H56" s="594">
        <f t="shared" si="15"/>
        <v>1820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1" t="str">
        <f>'Sensitivity Analysis'!C8</f>
        <v>Windsor Crossing</v>
      </c>
      <c r="B1" s="4771"/>
      <c r="C1" s="4771"/>
      <c r="D1" s="4771"/>
      <c r="E1" s="4771"/>
      <c r="F1" s="4771"/>
      <c r="G1" s="4771"/>
      <c r="H1" s="4771"/>
      <c r="I1" s="4771"/>
      <c r="J1" s="4771"/>
      <c r="K1" s="4771"/>
    </row>
    <row r="2" spans="1:11" s="439" customFormat="1" ht="17.649999999999999"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6060</v>
      </c>
      <c r="B4" s="4772"/>
      <c r="C4" s="1476"/>
      <c r="D4" s="4772" t="s">
        <v>6061</v>
      </c>
      <c r="E4" s="4772"/>
      <c r="F4" s="523"/>
      <c r="G4" s="4772" t="s">
        <v>6062</v>
      </c>
      <c r="H4" s="4772"/>
      <c r="I4" s="523"/>
      <c r="J4" s="4772" t="s">
        <v>6177</v>
      </c>
      <c r="K4" s="4772"/>
    </row>
    <row r="5" spans="1:11" ht="25.9" customHeight="1">
      <c r="A5" s="4773" t="str">
        <f>'Part II-Sources of Funds'!E40</f>
        <v>Central Bank of Kansas City</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4583.2096874712142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4583.2096874712142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4583.2096874712142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4583.2096874712142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4583.2096874712142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4583.2096874712142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4583.2096874712142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4583.2096874712142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4583.2096874712142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4583.2096874712142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4337.2702815367702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4337.2702815367702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4337.2702815367702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4337.2702815367702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4337.2702815367702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4337.2702815367702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4337.2702815367702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4337.2702815367702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4337.2702815367702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4337.2702815367702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4337.2702815367702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4337.2702815367702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4337.2702815367702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4337.2702815367702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4337.2702815367702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4337.2702815367702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4337.2702815367702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4337.2702815367702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4337.2702815367702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4337.2702815367702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4337.2702815367702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4337.2702815367702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4337.2702815367702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4337.2702815367702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4337.2702815367702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Windsor Crossing</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3463</v>
      </c>
      <c r="E11" s="4779"/>
      <c r="F11" s="4779"/>
      <c r="G11" s="4779"/>
      <c r="H11" s="4779"/>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Windsor Crossing</v>
      </c>
    </row>
    <row r="16" spans="1:11" ht="12" customHeight="1">
      <c r="C16" s="432" t="s">
        <v>2744</v>
      </c>
      <c r="E16" s="4779"/>
      <c r="F16" s="4779"/>
      <c r="G16" s="4779"/>
      <c r="H16" s="4779"/>
    </row>
    <row r="17" spans="1:8" ht="12" customHeight="1">
      <c r="E17" s="438" t="str">
        <f>'Part I-Project Identification'!$F$26</f>
        <v>Nashville</v>
      </c>
      <c r="F17" s="609" t="s">
        <v>791</v>
      </c>
      <c r="G17" s="4780" t="s">
        <v>6750</v>
      </c>
      <c r="H17" s="4780"/>
    </row>
    <row r="18" spans="1:8" ht="12" customHeight="1">
      <c r="E18" s="620" t="str">
        <f>(CONCATENATE('Part I-Project Identification'!$J$26," County"))</f>
        <v>Berrien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3459</v>
      </c>
      <c r="E23" s="1991"/>
    </row>
    <row r="24" spans="1:8" ht="12" customHeight="1">
      <c r="C24" s="432" t="s">
        <v>3462</v>
      </c>
      <c r="E24" s="1991"/>
    </row>
    <row r="25" spans="1:8" ht="12" customHeight="1">
      <c r="C25" s="432" t="s">
        <v>3463</v>
      </c>
      <c r="E25" s="4779"/>
      <c r="F25" s="4779"/>
      <c r="G25" s="4779"/>
      <c r="H25" s="4779"/>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10109757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120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3465</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44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493532.22265670588</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136042</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54272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4" t="s">
        <v>2960</v>
      </c>
      <c r="B1" s="4784"/>
      <c r="C1" s="4784"/>
      <c r="D1" s="4784"/>
      <c r="E1" s="4784"/>
      <c r="F1" s="4784"/>
      <c r="G1" s="4784"/>
      <c r="H1" s="4784"/>
      <c r="I1" s="4784"/>
      <c r="J1" s="4784"/>
    </row>
    <row r="2" spans="1:13" ht="15">
      <c r="A2" s="4784" t="str">
        <f>'Sensitivity Analysis'!E8&amp;"  "&amp;'Sensitivity Analysis'!C8</f>
        <v>2023-0  Windsor Crossing</v>
      </c>
      <c r="B2" s="4784"/>
      <c r="C2" s="4784"/>
      <c r="D2" s="4784"/>
      <c r="E2" s="4784"/>
      <c r="F2" s="4784"/>
      <c r="G2" s="4784"/>
      <c r="H2" s="4784"/>
      <c r="I2" s="4784"/>
      <c r="J2" s="4784"/>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Windsor Crossing</v>
      </c>
      <c r="I28" s="560"/>
    </row>
    <row r="29" spans="1:9" ht="3" customHeight="1">
      <c r="C29" s="613"/>
      <c r="I29" s="560"/>
    </row>
    <row r="30" spans="1:9" ht="12" customHeight="1">
      <c r="A30" s="432" t="s">
        <v>2791</v>
      </c>
      <c r="C30" s="613">
        <f>'Preview term'!E16</f>
        <v>0</v>
      </c>
      <c r="I30" s="560"/>
    </row>
    <row r="31" spans="1:9">
      <c r="C31" s="560" t="str">
        <f>'Preview term'!E17</f>
        <v>Nashville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6165</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3108</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Berrien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10109757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120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493532.22265670588</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Central Bank of Kansas City 1</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Central Bank of Kansas City</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6169</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602205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136042</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11000</v>
      </c>
      <c r="F174" s="560" t="s">
        <v>2871</v>
      </c>
    </row>
    <row r="175" spans="1:9">
      <c r="E175" s="632">
        <f>E174/12</f>
        <v>916.66666666666663</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54272</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5">
      <c r="A204" s="522" t="s">
        <v>6153</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1"/>
      <c r="B213" s="1251"/>
      <c r="C213" s="1251"/>
      <c r="D213" s="1251"/>
      <c r="E213" s="1251"/>
      <c r="F213" s="1251"/>
      <c r="G213" s="1251"/>
      <c r="H213" s="1251"/>
      <c r="I213" s="1251"/>
      <c r="J213" s="1251"/>
    </row>
    <row r="214" spans="1:10" s="516" customFormat="1" ht="19.5" customHeight="1">
      <c r="A214" s="4752" t="s">
        <v>6156</v>
      </c>
      <c r="B214" s="4752"/>
      <c r="C214" s="4752"/>
      <c r="D214" s="1249"/>
      <c r="E214" s="1249"/>
      <c r="F214" s="1249"/>
      <c r="G214" s="1249"/>
      <c r="H214" s="1249"/>
      <c r="I214" s="1249"/>
      <c r="J214" s="1249"/>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8" t="str">
        <f>'Part I-Project Identification'!F25</f>
        <v>Windsor Crossing</v>
      </c>
      <c r="E3" s="4169"/>
      <c r="F3" s="4169"/>
      <c r="G3" s="4169"/>
      <c r="H3" s="4169"/>
      <c r="I3" s="4169"/>
      <c r="J3" s="4822" t="s">
        <v>3970</v>
      </c>
      <c r="K3" s="4823"/>
    </row>
    <row r="4" spans="1:11" ht="15" customHeight="1">
      <c r="A4" s="1332" t="s">
        <v>3968</v>
      </c>
      <c r="B4" s="1333"/>
      <c r="C4" s="1334"/>
      <c r="D4" s="4818">
        <f>'Preview term'!$E$16</f>
        <v>0</v>
      </c>
      <c r="E4" s="4819"/>
      <c r="F4" s="4819"/>
      <c r="G4" s="4819"/>
      <c r="H4" s="4819"/>
      <c r="I4" s="4819"/>
      <c r="J4" s="4174" t="s">
        <v>4009</v>
      </c>
      <c r="K4" s="4175"/>
    </row>
    <row r="5" spans="1:11" ht="15" customHeight="1" thickBot="1">
      <c r="A5" s="1335" t="s">
        <v>3969</v>
      </c>
      <c r="B5" s="1336"/>
      <c r="C5" s="1337"/>
      <c r="D5" s="4820"/>
      <c r="E5" s="4821"/>
      <c r="F5" s="4821"/>
      <c r="G5" s="4821"/>
      <c r="H5" s="4821"/>
      <c r="I5" s="4821"/>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365">
        <v>1</v>
      </c>
      <c r="D8" s="1352" t="s">
        <v>3972</v>
      </c>
      <c r="E8" s="1352"/>
      <c r="F8" s="1352"/>
      <c r="G8" s="1352"/>
      <c r="H8" s="1352"/>
      <c r="I8" s="1352"/>
      <c r="J8" s="4799"/>
      <c r="K8" s="4800"/>
    </row>
    <row r="9" spans="1:11" ht="7.1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365">
        <v>2</v>
      </c>
      <c r="D11" s="1352" t="s">
        <v>3974</v>
      </c>
      <c r="E11" s="1354"/>
      <c r="F11" s="1354"/>
      <c r="G11" s="1354"/>
      <c r="H11" s="1354"/>
      <c r="I11" s="1354"/>
      <c r="J11" s="4797"/>
      <c r="K11" s="4798"/>
    </row>
    <row r="12" spans="1:11" ht="7.1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366">
        <v>3</v>
      </c>
      <c r="D14" s="1356" t="s">
        <v>3976</v>
      </c>
      <c r="E14" s="1356"/>
      <c r="F14" s="1356"/>
      <c r="G14" s="1356"/>
      <c r="H14" s="1356"/>
      <c r="I14" s="1356"/>
      <c r="J14" s="4795"/>
      <c r="K14" s="4796"/>
    </row>
    <row r="15" spans="1:11" ht="14.25" customHeight="1">
      <c r="A15" s="1333"/>
      <c r="B15" s="1333"/>
      <c r="C15" s="1367">
        <v>4</v>
      </c>
      <c r="D15" s="1333" t="s">
        <v>3977</v>
      </c>
      <c r="E15" s="1333"/>
      <c r="F15" s="1333"/>
      <c r="G15" s="1333"/>
      <c r="H15" s="1333"/>
      <c r="I15" s="1333"/>
      <c r="J15" s="4793"/>
      <c r="K15" s="4794"/>
    </row>
    <row r="16" spans="1:11" ht="14.25" customHeight="1">
      <c r="A16" s="1333"/>
      <c r="B16" s="1333"/>
      <c r="C16" s="1367">
        <v>5</v>
      </c>
      <c r="D16" s="1333" t="s">
        <v>3978</v>
      </c>
      <c r="E16" s="1333"/>
      <c r="F16" s="1333"/>
      <c r="G16" s="1333"/>
      <c r="H16" s="1333"/>
      <c r="I16" s="1333"/>
      <c r="J16" s="4793"/>
      <c r="K16" s="4794"/>
    </row>
    <row r="17" spans="1:13" ht="14.25" customHeight="1">
      <c r="A17" s="1333"/>
      <c r="B17" s="1333"/>
      <c r="C17" s="1368">
        <v>6</v>
      </c>
      <c r="D17" s="1336" t="s">
        <v>3979</v>
      </c>
      <c r="E17" s="1336"/>
      <c r="F17" s="1336"/>
      <c r="G17" s="1336"/>
      <c r="H17" s="1336"/>
      <c r="I17" s="1336"/>
      <c r="J17" s="4801"/>
      <c r="K17" s="480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3980</v>
      </c>
      <c r="E19" s="1356"/>
      <c r="F19" s="1356"/>
      <c r="G19" s="1356"/>
      <c r="H19" s="1356"/>
      <c r="I19" s="1356"/>
      <c r="J19" s="4117" t="str">
        <f>IF(J17="No",J14-J15,IF(J17="Yes",J14-J15-J16,"Error"))</f>
        <v>Error</v>
      </c>
      <c r="K19" s="4118"/>
    </row>
    <row r="20" spans="1:13" ht="14.25" customHeight="1">
      <c r="A20" s="1333"/>
      <c r="B20" s="1333"/>
      <c r="C20" s="1368">
        <v>8</v>
      </c>
      <c r="D20" s="1336" t="s">
        <v>3981</v>
      </c>
      <c r="E20" s="1336"/>
      <c r="F20" s="1336"/>
      <c r="G20" s="1336"/>
      <c r="H20" s="1336"/>
      <c r="I20" s="1336"/>
      <c r="J20" s="4115" t="e">
        <f>ROUNDDOWN(J19/J8,2)</f>
        <v>#VALUE!</v>
      </c>
      <c r="K20" s="411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807" t="s">
        <v>3970</v>
      </c>
      <c r="C31" s="4807"/>
      <c r="D31" s="4807"/>
      <c r="E31" s="4807"/>
      <c r="F31" s="4807"/>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494"/>
      <c r="C33" s="1495"/>
      <c r="D33" s="1496"/>
      <c r="E33" s="4816"/>
      <c r="F33" s="481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497"/>
      <c r="C34" s="1498"/>
      <c r="D34" s="1499"/>
      <c r="E34" s="4805"/>
      <c r="F34" s="4806"/>
      <c r="G34" s="1391" t="e">
        <f t="shared" si="0"/>
        <v>#VALUE!</v>
      </c>
      <c r="H34" s="1392" t="e">
        <f t="shared" ref="H34:H51" si="3">ROUNDUP(G34,0)</f>
        <v>#VALUE!</v>
      </c>
      <c r="I34" s="1389"/>
      <c r="J34" s="1393" t="e">
        <f t="shared" si="1"/>
        <v>#VALUE!</v>
      </c>
      <c r="K34" s="1393" t="e">
        <f t="shared" si="2"/>
        <v>#VALUE!</v>
      </c>
      <c r="L34" s="4165"/>
      <c r="M34" s="4165"/>
    </row>
    <row r="35" spans="2:14" ht="12.75" customHeight="1">
      <c r="B35" s="1497"/>
      <c r="C35" s="1498"/>
      <c r="D35" s="1499"/>
      <c r="E35" s="4805"/>
      <c r="F35" s="4806"/>
      <c r="G35" s="1391" t="e">
        <f t="shared" si="0"/>
        <v>#VALUE!</v>
      </c>
      <c r="H35" s="1392" t="e">
        <f t="shared" si="3"/>
        <v>#VALUE!</v>
      </c>
      <c r="I35" s="1389"/>
      <c r="J35" s="1393" t="e">
        <f t="shared" si="1"/>
        <v>#VALUE!</v>
      </c>
      <c r="K35" s="1393" t="e">
        <f t="shared" si="2"/>
        <v>#VALUE!</v>
      </c>
      <c r="L35" s="4165"/>
      <c r="M35" s="4165"/>
    </row>
    <row r="36" spans="2:14" ht="12.75" customHeight="1">
      <c r="B36" s="1497"/>
      <c r="C36" s="1498"/>
      <c r="D36" s="1499"/>
      <c r="E36" s="4805"/>
      <c r="F36" s="4806"/>
      <c r="G36" s="1391" t="e">
        <f t="shared" si="0"/>
        <v>#VALUE!</v>
      </c>
      <c r="H36" s="1392" t="e">
        <f t="shared" si="3"/>
        <v>#VALUE!</v>
      </c>
      <c r="I36" s="1389"/>
      <c r="J36" s="1393" t="e">
        <f t="shared" si="1"/>
        <v>#VALUE!</v>
      </c>
      <c r="K36" s="1393" t="e">
        <f t="shared" si="2"/>
        <v>#VALUE!</v>
      </c>
      <c r="L36" s="4165"/>
      <c r="M36" s="4165"/>
      <c r="N36" s="1346"/>
    </row>
    <row r="37" spans="2:14" ht="12.75" customHeight="1">
      <c r="B37" s="1497"/>
      <c r="C37" s="1498"/>
      <c r="D37" s="1499"/>
      <c r="E37" s="4805"/>
      <c r="F37" s="4806"/>
      <c r="G37" s="1391" t="e">
        <f t="shared" si="0"/>
        <v>#VALUE!</v>
      </c>
      <c r="H37" s="1392" t="e">
        <f t="shared" si="3"/>
        <v>#VALUE!</v>
      </c>
      <c r="I37" s="1389"/>
      <c r="J37" s="1393" t="e">
        <f t="shared" si="1"/>
        <v>#VALUE!</v>
      </c>
      <c r="K37" s="1393" t="e">
        <f t="shared" si="2"/>
        <v>#VALUE!</v>
      </c>
      <c r="L37" s="4165"/>
      <c r="M37" s="4165"/>
    </row>
    <row r="38" spans="2:14" ht="12.75" customHeight="1">
      <c r="B38" s="1497"/>
      <c r="C38" s="1498"/>
      <c r="D38" s="1499"/>
      <c r="E38" s="4805"/>
      <c r="F38" s="4806"/>
      <c r="G38" s="1391" t="e">
        <f t="shared" si="0"/>
        <v>#VALUE!</v>
      </c>
      <c r="H38" s="1392" t="e">
        <f t="shared" si="3"/>
        <v>#VALUE!</v>
      </c>
      <c r="I38" s="1389"/>
      <c r="J38" s="1393" t="e">
        <f t="shared" si="1"/>
        <v>#VALUE!</v>
      </c>
      <c r="K38" s="1393" t="e">
        <f t="shared" si="2"/>
        <v>#VALUE!</v>
      </c>
      <c r="L38" s="4165"/>
      <c r="M38" s="4165"/>
    </row>
    <row r="39" spans="2:14" ht="12.75" customHeight="1">
      <c r="B39" s="1497"/>
      <c r="C39" s="1498"/>
      <c r="D39" s="1499"/>
      <c r="E39" s="4805"/>
      <c r="F39" s="4806"/>
      <c r="G39" s="1391" t="e">
        <f t="shared" si="0"/>
        <v>#VALUE!</v>
      </c>
      <c r="H39" s="1392" t="e">
        <f t="shared" si="3"/>
        <v>#VALUE!</v>
      </c>
      <c r="I39" s="1389"/>
      <c r="J39" s="1393" t="e">
        <f t="shared" si="1"/>
        <v>#VALUE!</v>
      </c>
      <c r="K39" s="1393" t="e">
        <f t="shared" si="2"/>
        <v>#VALUE!</v>
      </c>
      <c r="L39" s="4165"/>
      <c r="M39" s="4165"/>
    </row>
    <row r="40" spans="2:14" ht="12.75" customHeight="1">
      <c r="B40" s="1497"/>
      <c r="C40" s="1498"/>
      <c r="D40" s="1499"/>
      <c r="E40" s="4805"/>
      <c r="F40" s="4806"/>
      <c r="G40" s="1391" t="e">
        <f t="shared" si="0"/>
        <v>#VALUE!</v>
      </c>
      <c r="H40" s="1392" t="e">
        <f t="shared" si="3"/>
        <v>#VALUE!</v>
      </c>
      <c r="I40" s="1389"/>
      <c r="J40" s="1393" t="e">
        <f t="shared" si="1"/>
        <v>#VALUE!</v>
      </c>
      <c r="K40" s="1393" t="e">
        <f t="shared" si="2"/>
        <v>#VALUE!</v>
      </c>
      <c r="L40" s="4165"/>
      <c r="M40" s="4165"/>
    </row>
    <row r="41" spans="2:14" ht="12.75" customHeight="1">
      <c r="B41" s="1497"/>
      <c r="C41" s="1498"/>
      <c r="D41" s="1499"/>
      <c r="E41" s="4805"/>
      <c r="F41" s="4806"/>
      <c r="G41" s="1391" t="e">
        <f t="shared" si="0"/>
        <v>#VALUE!</v>
      </c>
      <c r="H41" s="1392" t="e">
        <f t="shared" si="3"/>
        <v>#VALUE!</v>
      </c>
      <c r="I41" s="1389"/>
      <c r="J41" s="1393" t="e">
        <f t="shared" si="1"/>
        <v>#VALUE!</v>
      </c>
      <c r="K41" s="1393" t="e">
        <f t="shared" si="2"/>
        <v>#VALUE!</v>
      </c>
      <c r="L41" s="4165"/>
      <c r="M41" s="4165"/>
    </row>
    <row r="42" spans="2:14" ht="12.75" customHeight="1">
      <c r="B42" s="1497"/>
      <c r="C42" s="1498"/>
      <c r="D42" s="1499"/>
      <c r="E42" s="4805"/>
      <c r="F42" s="4806"/>
      <c r="G42" s="1391" t="e">
        <f t="shared" si="0"/>
        <v>#VALUE!</v>
      </c>
      <c r="H42" s="1392" t="e">
        <f>ROUNDUP(G42,0)</f>
        <v>#VALUE!</v>
      </c>
      <c r="I42" s="1389"/>
      <c r="J42" s="1393" t="e">
        <f t="shared" si="1"/>
        <v>#VALUE!</v>
      </c>
      <c r="K42" s="1393" t="e">
        <f t="shared" si="2"/>
        <v>#VALUE!</v>
      </c>
      <c r="L42" s="4165"/>
      <c r="M42" s="4165"/>
    </row>
    <row r="43" spans="2:14" ht="12.75" customHeight="1">
      <c r="B43" s="1497"/>
      <c r="C43" s="1498"/>
      <c r="D43" s="1499"/>
      <c r="E43" s="4805"/>
      <c r="F43" s="4806"/>
      <c r="G43" s="1391" t="e">
        <f t="shared" si="0"/>
        <v>#VALUE!</v>
      </c>
      <c r="H43" s="1392" t="e">
        <f>ROUNDUP(G43,0)</f>
        <v>#VALUE!</v>
      </c>
      <c r="I43" s="1389"/>
      <c r="J43" s="1393" t="e">
        <f t="shared" si="1"/>
        <v>#VALUE!</v>
      </c>
      <c r="K43" s="1393" t="e">
        <f t="shared" si="2"/>
        <v>#VALUE!</v>
      </c>
      <c r="L43" s="4165"/>
      <c r="M43" s="4165"/>
    </row>
    <row r="44" spans="2:14" ht="12.75" customHeight="1">
      <c r="B44" s="1497"/>
      <c r="C44" s="1498"/>
      <c r="D44" s="1499"/>
      <c r="E44" s="4805"/>
      <c r="F44" s="4806"/>
      <c r="G44" s="1391" t="e">
        <f t="shared" si="0"/>
        <v>#VALUE!</v>
      </c>
      <c r="H44" s="1392" t="e">
        <f>ROUNDUP(G44,0)</f>
        <v>#VALUE!</v>
      </c>
      <c r="I44" s="1389"/>
      <c r="J44" s="1393" t="e">
        <f t="shared" si="1"/>
        <v>#VALUE!</v>
      </c>
      <c r="K44" s="1393" t="e">
        <f t="shared" si="2"/>
        <v>#VALUE!</v>
      </c>
      <c r="L44" s="4165"/>
      <c r="M44" s="4165"/>
    </row>
    <row r="45" spans="2:14" ht="12.75" customHeight="1">
      <c r="B45" s="1497"/>
      <c r="C45" s="1498"/>
      <c r="D45" s="1499"/>
      <c r="E45" s="4805"/>
      <c r="F45" s="4806"/>
      <c r="G45" s="1391" t="e">
        <f t="shared" si="0"/>
        <v>#VALUE!</v>
      </c>
      <c r="H45" s="1392" t="e">
        <f>ROUNDUP(G45,0)</f>
        <v>#VALUE!</v>
      </c>
      <c r="I45" s="1389"/>
      <c r="J45" s="1393" t="e">
        <f t="shared" si="1"/>
        <v>#VALUE!</v>
      </c>
      <c r="K45" s="1393" t="e">
        <f t="shared" si="2"/>
        <v>#VALUE!</v>
      </c>
      <c r="L45" s="4165"/>
      <c r="M45" s="4165"/>
    </row>
    <row r="46" spans="2:14" ht="12.75" customHeight="1">
      <c r="B46" s="1497"/>
      <c r="C46" s="1498"/>
      <c r="D46" s="1499"/>
      <c r="E46" s="4805"/>
      <c r="F46" s="4806"/>
      <c r="G46" s="1391" t="e">
        <f t="shared" si="0"/>
        <v>#VALUE!</v>
      </c>
      <c r="H46" s="1392" t="e">
        <f t="shared" si="3"/>
        <v>#VALUE!</v>
      </c>
      <c r="I46" s="1389"/>
      <c r="J46" s="1393" t="e">
        <f t="shared" si="1"/>
        <v>#VALUE!</v>
      </c>
      <c r="K46" s="1393" t="e">
        <f t="shared" si="2"/>
        <v>#VALUE!</v>
      </c>
      <c r="L46" s="4165"/>
      <c r="M46" s="4165"/>
    </row>
    <row r="47" spans="2:14" ht="12.75" customHeight="1">
      <c r="B47" s="1497"/>
      <c r="C47" s="1498"/>
      <c r="D47" s="1499"/>
      <c r="E47" s="4805"/>
      <c r="F47" s="4806"/>
      <c r="G47" s="1391" t="e">
        <f t="shared" si="0"/>
        <v>#VALUE!</v>
      </c>
      <c r="H47" s="1392" t="e">
        <f t="shared" si="3"/>
        <v>#VALUE!</v>
      </c>
      <c r="I47" s="1389"/>
      <c r="J47" s="1393" t="e">
        <f t="shared" si="1"/>
        <v>#VALUE!</v>
      </c>
      <c r="K47" s="1393" t="e">
        <f t="shared" si="2"/>
        <v>#VALUE!</v>
      </c>
      <c r="L47" s="4165"/>
      <c r="M47" s="4165"/>
    </row>
    <row r="48" spans="2:14" ht="12.75" customHeight="1">
      <c r="B48" s="1497"/>
      <c r="C48" s="1498"/>
      <c r="D48" s="1499"/>
      <c r="E48" s="4805"/>
      <c r="F48" s="4806"/>
      <c r="G48" s="1391" t="e">
        <f t="shared" si="0"/>
        <v>#VALUE!</v>
      </c>
      <c r="H48" s="1392" t="e">
        <f>ROUNDUP(G48,0)</f>
        <v>#VALUE!</v>
      </c>
      <c r="I48" s="1389"/>
      <c r="J48" s="1393" t="e">
        <f t="shared" si="1"/>
        <v>#VALUE!</v>
      </c>
      <c r="K48" s="1393" t="e">
        <f t="shared" si="2"/>
        <v>#VALUE!</v>
      </c>
      <c r="L48" s="4165"/>
      <c r="M48" s="4165"/>
    </row>
    <row r="49" spans="1:13" ht="12.75" customHeight="1">
      <c r="B49" s="1497"/>
      <c r="C49" s="1498"/>
      <c r="D49" s="1499"/>
      <c r="E49" s="4805"/>
      <c r="F49" s="4806"/>
      <c r="G49" s="1391" t="e">
        <f t="shared" si="0"/>
        <v>#VALUE!</v>
      </c>
      <c r="H49" s="1392" t="e">
        <f t="shared" si="3"/>
        <v>#VALUE!</v>
      </c>
      <c r="I49" s="1389"/>
      <c r="J49" s="1393" t="e">
        <f t="shared" si="1"/>
        <v>#VALUE!</v>
      </c>
      <c r="K49" s="1393" t="e">
        <f t="shared" si="2"/>
        <v>#VALUE!</v>
      </c>
      <c r="L49" s="4165"/>
      <c r="M49" s="4165"/>
    </row>
    <row r="50" spans="1:13" ht="12.75" customHeight="1">
      <c r="B50" s="1497"/>
      <c r="C50" s="1498"/>
      <c r="D50" s="1499"/>
      <c r="E50" s="4805"/>
      <c r="F50" s="4806"/>
      <c r="G50" s="1391" t="e">
        <f t="shared" si="0"/>
        <v>#VALUE!</v>
      </c>
      <c r="H50" s="1392" t="e">
        <f t="shared" si="3"/>
        <v>#VALUE!</v>
      </c>
      <c r="I50" s="1389"/>
      <c r="J50" s="1393" t="e">
        <f t="shared" si="1"/>
        <v>#VALUE!</v>
      </c>
      <c r="K50" s="1393" t="e">
        <f t="shared" si="2"/>
        <v>#VALUE!</v>
      </c>
      <c r="L50" s="4165"/>
      <c r="M50" s="4165"/>
    </row>
    <row r="51" spans="1:13" ht="12.75" customHeight="1" thickBot="1">
      <c r="B51" s="1500"/>
      <c r="C51" s="1501"/>
      <c r="D51" s="1502"/>
      <c r="E51" s="4803"/>
      <c r="F51" s="4804"/>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7.9"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812" t="s">
        <v>3996</v>
      </c>
      <c r="H57" s="4813"/>
      <c r="I57" s="4138" t="s">
        <v>4010</v>
      </c>
      <c r="J57" s="4139"/>
      <c r="K57" s="4142"/>
    </row>
    <row r="58" spans="1:13" ht="15" customHeight="1">
      <c r="A58" s="1465"/>
      <c r="B58" s="1381"/>
      <c r="C58" s="1359">
        <f>SUMIF(C33:C51, "0", H33:H51)</f>
        <v>0</v>
      </c>
      <c r="D58" s="1484">
        <f t="shared" ref="D58:D63" si="4">ROUNDUP(C58*1.1,0)</f>
        <v>0</v>
      </c>
      <c r="E58" s="4144" t="s">
        <v>3997</v>
      </c>
      <c r="F58" s="4145"/>
      <c r="G58" s="4814">
        <f>'DCA Underwriting Assumptions'!H129</f>
        <v>159753.60000000001</v>
      </c>
      <c r="H58" s="4815"/>
      <c r="I58" s="4146">
        <f t="shared" ref="I58:I63" si="5">D58*G58</f>
        <v>0</v>
      </c>
      <c r="J58" s="4146"/>
      <c r="K58" s="4143"/>
    </row>
    <row r="59" spans="1:13">
      <c r="A59" s="1465"/>
      <c r="B59" s="1381"/>
      <c r="C59" s="1360">
        <f>SUMIF(C33:C51, "1", H33:H51)</f>
        <v>0</v>
      </c>
      <c r="D59" s="1485">
        <f t="shared" si="4"/>
        <v>0</v>
      </c>
      <c r="E59" s="4130" t="s">
        <v>2462</v>
      </c>
      <c r="F59" s="4131"/>
      <c r="G59" s="4810">
        <f>'DCA Underwriting Assumptions'!H130</f>
        <v>183132</v>
      </c>
      <c r="H59" s="4811"/>
      <c r="I59" s="4134">
        <f t="shared" si="5"/>
        <v>0</v>
      </c>
      <c r="J59" s="4134"/>
      <c r="K59" s="4143"/>
    </row>
    <row r="60" spans="1:13" ht="15" customHeight="1">
      <c r="A60" s="1465"/>
      <c r="B60" s="1381"/>
      <c r="C60" s="1360">
        <f>SUMIF(C33:C51, "2", H33:H51)</f>
        <v>0</v>
      </c>
      <c r="D60" s="1485">
        <f t="shared" si="4"/>
        <v>0</v>
      </c>
      <c r="E60" s="4130" t="s">
        <v>2463</v>
      </c>
      <c r="F60" s="4131"/>
      <c r="G60" s="4810">
        <f>'DCA Underwriting Assumptions'!H131</f>
        <v>222693.6</v>
      </c>
      <c r="H60" s="4811"/>
      <c r="I60" s="4134">
        <f t="shared" si="5"/>
        <v>0</v>
      </c>
      <c r="J60" s="4134"/>
      <c r="K60" s="4143"/>
    </row>
    <row r="61" spans="1:13">
      <c r="A61" s="1465"/>
      <c r="B61" s="1381"/>
      <c r="C61" s="1360">
        <f>SUMIF(C33:C51, "3", H33:H51)</f>
        <v>0</v>
      </c>
      <c r="D61" s="1485">
        <f t="shared" si="4"/>
        <v>0</v>
      </c>
      <c r="E61" s="4130" t="s">
        <v>2466</v>
      </c>
      <c r="F61" s="4131"/>
      <c r="G61" s="4810">
        <f>'DCA Underwriting Assumptions'!H132</f>
        <v>288093.59999999998</v>
      </c>
      <c r="H61" s="4811"/>
      <c r="I61" s="4134">
        <f t="shared" si="5"/>
        <v>0</v>
      </c>
      <c r="J61" s="4134"/>
      <c r="K61" s="4143"/>
    </row>
    <row r="62" spans="1:13">
      <c r="A62" s="1465"/>
      <c r="B62" s="1381"/>
      <c r="C62" s="1360">
        <f>SUMIF(C33:C51, "4", H33:H51)</f>
        <v>0</v>
      </c>
      <c r="D62" s="1485">
        <f t="shared" si="4"/>
        <v>0</v>
      </c>
      <c r="E62" s="4130" t="s">
        <v>3998</v>
      </c>
      <c r="F62" s="4131"/>
      <c r="G62" s="4810">
        <f>'DCA Underwriting Assumptions'!H133</f>
        <v>316236</v>
      </c>
      <c r="H62" s="4811"/>
      <c r="I62" s="4134">
        <f t="shared" si="5"/>
        <v>0</v>
      </c>
      <c r="J62" s="4134"/>
      <c r="K62" s="4143"/>
    </row>
    <row r="63" spans="1:13">
      <c r="A63" s="1482"/>
      <c r="B63" s="1382"/>
      <c r="C63" s="1361">
        <f>SUMIF(C33:C51, "5", H33:H51)</f>
        <v>0</v>
      </c>
      <c r="D63" s="1486">
        <f t="shared" si="4"/>
        <v>0</v>
      </c>
      <c r="E63" s="4135" t="s">
        <v>3999</v>
      </c>
      <c r="F63" s="4136"/>
      <c r="G63" s="4808">
        <f>'DCA Underwriting Assumptions'!H133</f>
        <v>316236</v>
      </c>
      <c r="H63" s="4809"/>
      <c r="I63" s="4137">
        <f t="shared" si="5"/>
        <v>0</v>
      </c>
      <c r="J63" s="413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Windsor Crossing</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25735.518</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13736226</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149999999999999" customHeight="1" thickBot="1">
      <c r="A25" s="4825">
        <v>20</v>
      </c>
      <c r="B25" s="4826"/>
      <c r="C25" s="1451" t="s">
        <v>975</v>
      </c>
    </row>
    <row r="26" spans="1:8" ht="9" customHeight="1">
      <c r="A26" s="611"/>
    </row>
    <row r="27" spans="1:8" ht="28.15" customHeight="1">
      <c r="A27" s="4824" t="s">
        <v>4085</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4083</v>
      </c>
      <c r="E33" s="4824" t="s">
        <v>3121</v>
      </c>
      <c r="F33" s="4824"/>
      <c r="G33" s="4824"/>
      <c r="H33" s="4824"/>
    </row>
    <row r="34" spans="1:11" ht="12.75" customHeight="1">
      <c r="C34" s="1450"/>
      <c r="D34" s="1448"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4083</v>
      </c>
      <c r="E38" s="4824" t="s">
        <v>3121</v>
      </c>
      <c r="F38" s="4824"/>
      <c r="G38" s="4824"/>
      <c r="H38" s="4824"/>
    </row>
    <row r="39" spans="1:11" ht="12.75" customHeight="1">
      <c r="C39" s="1450"/>
      <c r="D39" s="1448"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4083</v>
      </c>
      <c r="E43" s="4824" t="s">
        <v>3121</v>
      </c>
      <c r="F43" s="4824"/>
      <c r="G43" s="4824"/>
      <c r="H43" s="4824"/>
    </row>
    <row r="44" spans="1:11" ht="12.75" customHeight="1">
      <c r="C44" s="1450"/>
      <c r="D44" s="1448" t="s">
        <v>2984</v>
      </c>
      <c r="E44" s="4827" t="s">
        <v>3122</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4083</v>
      </c>
      <c r="E50" s="4824" t="s">
        <v>3121</v>
      </c>
      <c r="F50" s="4824"/>
      <c r="G50" s="4824"/>
      <c r="H50" s="4824"/>
    </row>
    <row r="51" spans="1:11" ht="12.75" customHeight="1">
      <c r="C51" s="1450"/>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4083</v>
      </c>
      <c r="E55" s="4824" t="s">
        <v>3121</v>
      </c>
      <c r="F55" s="4824"/>
      <c r="G55" s="4824"/>
      <c r="H55" s="4824"/>
    </row>
    <row r="56" spans="1:11" ht="12.75" customHeight="1">
      <c r="C56" s="1450"/>
      <c r="D56" s="1448"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4083</v>
      </c>
      <c r="E60" s="4824" t="s">
        <v>3121</v>
      </c>
      <c r="F60" s="4824"/>
      <c r="G60" s="4824"/>
      <c r="H60" s="4824"/>
    </row>
    <row r="61" spans="1:11" ht="12.75" customHeight="1">
      <c r="C61" s="1450"/>
      <c r="D61" s="1448" t="s">
        <v>2984</v>
      </c>
      <c r="E61" s="4827" t="s">
        <v>3122</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4083</v>
      </c>
      <c r="E67" s="4824" t="s">
        <v>3121</v>
      </c>
      <c r="F67" s="4824"/>
      <c r="G67" s="4824"/>
      <c r="H67" s="4824"/>
    </row>
    <row r="68" spans="1:8" ht="12.75" customHeight="1">
      <c r="C68" s="1450"/>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4083</v>
      </c>
      <c r="E72" s="4824" t="s">
        <v>3121</v>
      </c>
      <c r="F72" s="4824"/>
      <c r="G72" s="4824"/>
      <c r="H72" s="4824"/>
    </row>
    <row r="73" spans="1:8" ht="12.75" customHeight="1">
      <c r="C73" s="1450"/>
      <c r="D73" s="1448"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4083</v>
      </c>
      <c r="E77" s="4824" t="s">
        <v>3121</v>
      </c>
      <c r="F77" s="4824"/>
      <c r="G77" s="4824"/>
      <c r="H77" s="4824"/>
    </row>
    <row r="78" spans="1:8" ht="12.75" customHeight="1">
      <c r="C78" s="1450"/>
      <c r="D78" s="1448" t="s">
        <v>2984</v>
      </c>
      <c r="E78" s="4827" t="s">
        <v>3122</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4083</v>
      </c>
      <c r="E84" s="4824" t="s">
        <v>3121</v>
      </c>
      <c r="F84" s="4824"/>
      <c r="G84" s="4824"/>
      <c r="H84" s="4824"/>
    </row>
    <row r="85" spans="3:8" ht="12.75" customHeight="1">
      <c r="C85" s="1450"/>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4083</v>
      </c>
      <c r="E89" s="4824" t="s">
        <v>3121</v>
      </c>
      <c r="F89" s="4824"/>
      <c r="G89" s="4824"/>
      <c r="H89" s="4824"/>
    </row>
    <row r="90" spans="3:8" ht="12.75" customHeight="1">
      <c r="C90" s="1450"/>
      <c r="D90" s="1448"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4083</v>
      </c>
      <c r="E94" s="4824" t="s">
        <v>3121</v>
      </c>
      <c r="F94" s="4824"/>
      <c r="G94" s="4824"/>
      <c r="H94" s="4824"/>
    </row>
    <row r="95" spans="3:8" ht="12.75" customHeight="1">
      <c r="C95" s="1450"/>
      <c r="D95" s="1448" t="s">
        <v>2984</v>
      </c>
      <c r="E95" s="4827" t="s">
        <v>3122</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149999999999999" customHeight="1" thickBot="1">
      <c r="A104" s="4825">
        <v>30</v>
      </c>
      <c r="B104" s="4826"/>
      <c r="C104" s="1451" t="s">
        <v>975</v>
      </c>
    </row>
    <row r="105" spans="1:11" ht="9" customHeight="1">
      <c r="A105" s="611"/>
    </row>
    <row r="106" spans="1:11" ht="28.15" customHeight="1">
      <c r="A106" s="4824" t="s">
        <v>4086</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4083</v>
      </c>
      <c r="E112" s="4824" t="s">
        <v>3121</v>
      </c>
      <c r="F112" s="4824"/>
      <c r="G112" s="4824"/>
      <c r="H112" s="4824"/>
    </row>
    <row r="113" spans="1:8" ht="12.75" customHeight="1">
      <c r="C113" s="1450"/>
      <c r="D113" s="1448"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4083</v>
      </c>
      <c r="E117" s="4824" t="s">
        <v>3121</v>
      </c>
      <c r="F117" s="4824"/>
      <c r="G117" s="4824"/>
      <c r="H117" s="4824"/>
    </row>
    <row r="118" spans="1:8" ht="12.75" customHeight="1">
      <c r="C118" s="1450"/>
      <c r="D118" s="1448"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4083</v>
      </c>
      <c r="E122" s="4824" t="s">
        <v>3121</v>
      </c>
      <c r="F122" s="4824"/>
      <c r="G122" s="4824"/>
      <c r="H122" s="4824"/>
    </row>
    <row r="123" spans="1:8" ht="12.75" customHeight="1">
      <c r="C123" s="1450"/>
      <c r="D123" s="1448" t="s">
        <v>2984</v>
      </c>
      <c r="E123" s="4827" t="s">
        <v>3122</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4083</v>
      </c>
      <c r="E129" s="4824" t="s">
        <v>3121</v>
      </c>
      <c r="F129" s="4824"/>
      <c r="G129" s="4824"/>
      <c r="H129" s="4824"/>
    </row>
    <row r="130" spans="1:8" ht="12.75" customHeight="1">
      <c r="C130" s="1450"/>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4083</v>
      </c>
      <c r="E134" s="4824" t="s">
        <v>3121</v>
      </c>
      <c r="F134" s="4824"/>
      <c r="G134" s="4824"/>
      <c r="H134" s="4824"/>
    </row>
    <row r="135" spans="1:8" ht="12.75" customHeight="1">
      <c r="C135" s="1450"/>
      <c r="D135" s="1448"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4083</v>
      </c>
      <c r="E139" s="4824" t="s">
        <v>3121</v>
      </c>
      <c r="F139" s="4824"/>
      <c r="G139" s="4824"/>
      <c r="H139" s="4824"/>
    </row>
    <row r="140" spans="1:8" ht="12.75" customHeight="1">
      <c r="C140" s="1450"/>
      <c r="D140" s="1448" t="s">
        <v>2984</v>
      </c>
      <c r="E140" s="4827" t="s">
        <v>3122</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4083</v>
      </c>
      <c r="E146" s="4824" t="s">
        <v>3121</v>
      </c>
      <c r="F146" s="4824"/>
      <c r="G146" s="4824"/>
      <c r="H146" s="4824"/>
    </row>
    <row r="147" spans="1:8" ht="12.75" customHeight="1">
      <c r="C147" s="1450"/>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4083</v>
      </c>
      <c r="E151" s="4824" t="s">
        <v>3121</v>
      </c>
      <c r="F151" s="4824"/>
      <c r="G151" s="4824"/>
      <c r="H151" s="4824"/>
    </row>
    <row r="152" spans="1:8" ht="12.75" customHeight="1">
      <c r="C152" s="1450"/>
      <c r="D152" s="1448"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4083</v>
      </c>
      <c r="E156" s="4824" t="s">
        <v>3121</v>
      </c>
      <c r="F156" s="4824"/>
      <c r="G156" s="4824"/>
      <c r="H156" s="4824"/>
    </row>
    <row r="157" spans="1:8" ht="12.75" customHeight="1">
      <c r="C157" s="1450"/>
      <c r="D157" s="1448" t="s">
        <v>2984</v>
      </c>
      <c r="E157" s="4827" t="s">
        <v>3122</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4083</v>
      </c>
      <c r="E163" s="4824" t="s">
        <v>3121</v>
      </c>
      <c r="F163" s="4824"/>
      <c r="G163" s="4824"/>
      <c r="H163" s="4824"/>
    </row>
    <row r="164" spans="1:8" ht="12.75" customHeight="1">
      <c r="C164" s="1450"/>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4083</v>
      </c>
      <c r="E168" s="4824" t="s">
        <v>3121</v>
      </c>
      <c r="F168" s="4824"/>
      <c r="G168" s="4824"/>
      <c r="H168" s="4824"/>
    </row>
    <row r="169" spans="1:8" ht="12.75" customHeight="1">
      <c r="C169" s="1450"/>
      <c r="D169" s="1448"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4083</v>
      </c>
      <c r="E173" s="4824" t="s">
        <v>3121</v>
      </c>
      <c r="F173" s="4824"/>
      <c r="G173" s="4824"/>
      <c r="H173" s="4824"/>
    </row>
    <row r="174" spans="1:8" ht="12.75" customHeight="1">
      <c r="C174" s="1450"/>
      <c r="D174" s="1448" t="s">
        <v>2984</v>
      </c>
      <c r="E174" s="4827" t="s">
        <v>3122</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149999999999999" customHeight="1" thickBot="1">
      <c r="A183" s="4825">
        <v>40</v>
      </c>
      <c r="B183" s="4826"/>
      <c r="C183" s="1451" t="s">
        <v>975</v>
      </c>
    </row>
    <row r="184" spans="1:11" ht="9" customHeight="1">
      <c r="A184" s="611"/>
    </row>
    <row r="185" spans="1:11" ht="28.15" customHeight="1">
      <c r="A185" s="4824" t="s">
        <v>4087</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4083</v>
      </c>
      <c r="E191" s="4824" t="s">
        <v>3121</v>
      </c>
      <c r="F191" s="4824"/>
      <c r="G191" s="4824"/>
      <c r="H191" s="4824"/>
    </row>
    <row r="192" spans="1:11" ht="12.75" customHeight="1">
      <c r="C192" s="1450"/>
      <c r="D192" s="1448"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4083</v>
      </c>
      <c r="E196" s="4824" t="s">
        <v>3121</v>
      </c>
      <c r="F196" s="4824"/>
      <c r="G196" s="4824"/>
      <c r="H196" s="4824"/>
    </row>
    <row r="197" spans="1:8" ht="12.75" customHeight="1">
      <c r="C197" s="1450"/>
      <c r="D197" s="1448"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4083</v>
      </c>
      <c r="E201" s="4824" t="s">
        <v>3121</v>
      </c>
      <c r="F201" s="4824"/>
      <c r="G201" s="4824"/>
      <c r="H201" s="4824"/>
    </row>
    <row r="202" spans="1:8" ht="12.75" customHeight="1">
      <c r="C202" s="1450"/>
      <c r="D202" s="1448" t="s">
        <v>2984</v>
      </c>
      <c r="E202" s="4827" t="s">
        <v>3122</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4083</v>
      </c>
      <c r="E208" s="4824" t="s">
        <v>3121</v>
      </c>
      <c r="F208" s="4824"/>
      <c r="G208" s="4824"/>
      <c r="H208" s="4824"/>
    </row>
    <row r="209" spans="1:8" ht="12.75" customHeight="1">
      <c r="C209" s="1450"/>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4083</v>
      </c>
      <c r="E213" s="4824" t="s">
        <v>3121</v>
      </c>
      <c r="F213" s="4824"/>
      <c r="G213" s="4824"/>
      <c r="H213" s="4824"/>
    </row>
    <row r="214" spans="1:8" ht="12.75" customHeight="1">
      <c r="C214" s="1450"/>
      <c r="D214" s="1448"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4083</v>
      </c>
      <c r="E218" s="4824" t="s">
        <v>3121</v>
      </c>
      <c r="F218" s="4824"/>
      <c r="G218" s="4824"/>
      <c r="H218" s="4824"/>
    </row>
    <row r="219" spans="1:8" ht="12.75" customHeight="1">
      <c r="C219" s="1450"/>
      <c r="D219" s="1448" t="s">
        <v>2984</v>
      </c>
      <c r="E219" s="4827" t="s">
        <v>3122</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4083</v>
      </c>
      <c r="E225" s="4824" t="s">
        <v>3121</v>
      </c>
      <c r="F225" s="4824"/>
      <c r="G225" s="4824"/>
      <c r="H225" s="4824"/>
    </row>
    <row r="226" spans="1:8" ht="12.75" customHeight="1">
      <c r="C226" s="1450"/>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4083</v>
      </c>
      <c r="E230" s="4824" t="s">
        <v>3121</v>
      </c>
      <c r="F230" s="4824"/>
      <c r="G230" s="4824"/>
      <c r="H230" s="4824"/>
    </row>
    <row r="231" spans="1:8" ht="12.75" customHeight="1">
      <c r="C231" s="1450"/>
      <c r="D231" s="1448"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4083</v>
      </c>
      <c r="E235" s="4824" t="s">
        <v>3121</v>
      </c>
      <c r="F235" s="4824"/>
      <c r="G235" s="4824"/>
      <c r="H235" s="4824"/>
    </row>
    <row r="236" spans="1:8" ht="12.75" customHeight="1">
      <c r="C236" s="1450"/>
      <c r="D236" s="1448" t="s">
        <v>2984</v>
      </c>
      <c r="E236" s="4827" t="s">
        <v>3122</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4083</v>
      </c>
      <c r="E242" s="4824" t="s">
        <v>3121</v>
      </c>
      <c r="F242" s="4824"/>
      <c r="G242" s="4824"/>
      <c r="H242" s="4824"/>
    </row>
    <row r="243" spans="1:8" ht="12.75" customHeight="1">
      <c r="C243" s="1450"/>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4083</v>
      </c>
      <c r="E247" s="4824" t="s">
        <v>3121</v>
      </c>
      <c r="F247" s="4824"/>
      <c r="G247" s="4824"/>
      <c r="H247" s="4824"/>
    </row>
    <row r="248" spans="1:8" ht="12.75" customHeight="1">
      <c r="C248" s="1450"/>
      <c r="D248" s="1448"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4083</v>
      </c>
      <c r="E252" s="4824" t="s">
        <v>3121</v>
      </c>
      <c r="F252" s="4824"/>
      <c r="G252" s="4824"/>
      <c r="H252" s="4824"/>
    </row>
    <row r="253" spans="1:8" ht="12.75" customHeight="1">
      <c r="C253" s="1450"/>
      <c r="D253" s="1448" t="s">
        <v>2984</v>
      </c>
      <c r="E253" s="4827" t="s">
        <v>3122</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149999999999999" customHeight="1" thickBot="1">
      <c r="A262" s="4825">
        <v>50</v>
      </c>
      <c r="B262" s="4826"/>
      <c r="C262" s="1451" t="s">
        <v>975</v>
      </c>
    </row>
    <row r="263" spans="1:11" ht="9" customHeight="1">
      <c r="A263" s="611"/>
    </row>
    <row r="264" spans="1:11" ht="28.15" customHeight="1">
      <c r="A264" s="4824" t="s">
        <v>4084</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4083</v>
      </c>
      <c r="E270" s="4824" t="s">
        <v>3121</v>
      </c>
      <c r="F270" s="4824"/>
      <c r="G270" s="4824"/>
      <c r="H270" s="4824"/>
    </row>
    <row r="271" spans="1:11" ht="12.75" customHeight="1">
      <c r="C271" s="1450"/>
      <c r="D271" s="1448"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4083</v>
      </c>
      <c r="E275" s="4824" t="s">
        <v>3121</v>
      </c>
      <c r="F275" s="4824"/>
      <c r="G275" s="4824"/>
      <c r="H275" s="4824"/>
    </row>
    <row r="276" spans="1:8" ht="12.75" customHeight="1">
      <c r="C276" s="1450"/>
      <c r="D276" s="1448"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4083</v>
      </c>
      <c r="E280" s="4824" t="s">
        <v>3121</v>
      </c>
      <c r="F280" s="4824"/>
      <c r="G280" s="4824"/>
      <c r="H280" s="4824"/>
    </row>
    <row r="281" spans="1:8" ht="12.75" customHeight="1">
      <c r="C281" s="1450"/>
      <c r="D281" s="1448" t="s">
        <v>2984</v>
      </c>
      <c r="E281" s="4827" t="s">
        <v>3122</v>
      </c>
      <c r="F281" s="4827"/>
      <c r="G281" s="4827"/>
      <c r="H281" s="4827"/>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4083</v>
      </c>
      <c r="E287" s="4824" t="s">
        <v>3121</v>
      </c>
      <c r="F287" s="4824"/>
      <c r="G287" s="4824"/>
      <c r="H287" s="4824"/>
    </row>
    <row r="288" spans="1:8" ht="12.75" customHeight="1">
      <c r="C288" s="1450"/>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4083</v>
      </c>
      <c r="E292" s="4824" t="s">
        <v>3121</v>
      </c>
      <c r="F292" s="4824"/>
      <c r="G292" s="4824"/>
      <c r="H292" s="4824"/>
    </row>
    <row r="293" spans="1:8" ht="12.75" customHeight="1">
      <c r="C293" s="1450"/>
      <c r="D293" s="1448"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4083</v>
      </c>
      <c r="E297" s="4824" t="s">
        <v>3121</v>
      </c>
      <c r="F297" s="4824"/>
      <c r="G297" s="4824"/>
      <c r="H297" s="4824"/>
    </row>
    <row r="298" spans="1:8" ht="12.75" customHeight="1">
      <c r="C298" s="1450"/>
      <c r="D298" s="1448" t="s">
        <v>2984</v>
      </c>
      <c r="E298" s="4827" t="s">
        <v>3122</v>
      </c>
      <c r="F298" s="4827"/>
      <c r="G298" s="4827"/>
      <c r="H298" s="4827"/>
    </row>
    <row r="299" spans="1:8" ht="6" customHeight="1">
      <c r="D299" s="639"/>
      <c r="E299" s="1025"/>
      <c r="F299" s="1025"/>
      <c r="G299" s="1025"/>
      <c r="H299" s="1025"/>
    </row>
    <row r="300" spans="1:8">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4083</v>
      </c>
      <c r="E304" s="4824" t="s">
        <v>3121</v>
      </c>
      <c r="F304" s="4824"/>
      <c r="G304" s="4824"/>
      <c r="H304" s="4824"/>
    </row>
    <row r="305" spans="1:8" ht="12.75" customHeight="1">
      <c r="C305" s="1450"/>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4083</v>
      </c>
      <c r="E309" s="4824" t="s">
        <v>3121</v>
      </c>
      <c r="F309" s="4824"/>
      <c r="G309" s="4824"/>
      <c r="H309" s="4824"/>
    </row>
    <row r="310" spans="1:8" ht="12.75" customHeight="1">
      <c r="C310" s="1450"/>
      <c r="D310" s="1448"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4083</v>
      </c>
      <c r="E314" s="4824" t="s">
        <v>3121</v>
      </c>
      <c r="F314" s="4824"/>
      <c r="G314" s="4824"/>
      <c r="H314" s="4824"/>
    </row>
    <row r="315" spans="1:8" ht="12.75" customHeight="1">
      <c r="C315" s="1450"/>
      <c r="D315" s="1448" t="s">
        <v>2984</v>
      </c>
      <c r="E315" s="4827" t="s">
        <v>3122</v>
      </c>
      <c r="F315" s="4827"/>
      <c r="G315" s="4827"/>
      <c r="H315" s="4827"/>
    </row>
    <row r="316" spans="1:8" ht="6" customHeight="1">
      <c r="D316" s="639"/>
      <c r="E316" s="1025"/>
      <c r="F316" s="1025"/>
      <c r="G316" s="1025"/>
      <c r="H316" s="1025"/>
    </row>
    <row r="317" spans="1:8">
      <c r="A317" s="620" t="s">
        <v>2980</v>
      </c>
      <c r="B317" s="637">
        <f>IF('Part V-Revenues &amp; Expenses'!$N$59=0,"",'Part V-Revenues &amp; Expenses'!$N$59)</f>
        <v>5</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4083</v>
      </c>
      <c r="E321" s="4824" t="s">
        <v>3121</v>
      </c>
      <c r="F321" s="4824"/>
      <c r="G321" s="4824"/>
      <c r="H321" s="4824"/>
    </row>
    <row r="322" spans="1:11" ht="12.75" customHeight="1">
      <c r="C322" s="1450"/>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4083</v>
      </c>
      <c r="E326" s="4824" t="s">
        <v>3121</v>
      </c>
      <c r="F326" s="4824"/>
      <c r="G326" s="4824"/>
      <c r="H326" s="4824"/>
    </row>
    <row r="327" spans="1:11" ht="12.75" customHeight="1">
      <c r="C327" s="1450"/>
      <c r="D327" s="1448"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4083</v>
      </c>
      <c r="E331" s="4824" t="s">
        <v>3121</v>
      </c>
      <c r="F331" s="4824"/>
      <c r="G331" s="4824"/>
      <c r="H331" s="4824"/>
    </row>
    <row r="332" spans="1:11" ht="12.75" customHeight="1">
      <c r="C332" s="1450"/>
      <c r="D332" s="1448" t="s">
        <v>2984</v>
      </c>
      <c r="E332" s="4827" t="s">
        <v>3122</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149999999999999" customHeight="1" thickBot="1">
      <c r="A342" s="4825">
        <v>60</v>
      </c>
      <c r="B342" s="4826"/>
      <c r="C342" s="1451" t="s">
        <v>975</v>
      </c>
    </row>
    <row r="343" spans="1:8" ht="9" customHeight="1">
      <c r="A343" s="611"/>
    </row>
    <row r="344" spans="1:8" ht="28.15" customHeight="1">
      <c r="A344" s="4824" t="s">
        <v>4088</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4083</v>
      </c>
      <c r="E350" s="4824" t="s">
        <v>3121</v>
      </c>
      <c r="F350" s="4824"/>
      <c r="G350" s="4824"/>
      <c r="H350" s="4824"/>
    </row>
    <row r="351" spans="1:8" ht="12.75" customHeight="1">
      <c r="C351" s="1450"/>
      <c r="D351" s="1448"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4083</v>
      </c>
      <c r="E355" s="4824" t="s">
        <v>3121</v>
      </c>
      <c r="F355" s="4824"/>
      <c r="G355" s="4824"/>
      <c r="H355" s="4824"/>
    </row>
    <row r="356" spans="1:8" ht="12.75" customHeight="1">
      <c r="C356" s="1450"/>
      <c r="D356" s="1448"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4083</v>
      </c>
      <c r="E360" s="4824" t="s">
        <v>3121</v>
      </c>
      <c r="F360" s="4824"/>
      <c r="G360" s="4824"/>
      <c r="H360" s="4824"/>
    </row>
    <row r="361" spans="1:8" ht="12.75" customHeight="1">
      <c r="C361" s="1450"/>
      <c r="D361" s="1448" t="s">
        <v>2984</v>
      </c>
      <c r="E361" s="4827" t="s">
        <v>3122</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4083</v>
      </c>
      <c r="E367" s="4824" t="s">
        <v>3121</v>
      </c>
      <c r="F367" s="4824"/>
      <c r="G367" s="4824"/>
      <c r="H367" s="4824"/>
    </row>
    <row r="368" spans="1:8" ht="12.75" customHeight="1">
      <c r="C368" s="1450"/>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4083</v>
      </c>
      <c r="E372" s="4824" t="s">
        <v>3121</v>
      </c>
      <c r="F372" s="4824"/>
      <c r="G372" s="4824"/>
      <c r="H372" s="4824"/>
    </row>
    <row r="373" spans="1:8" ht="12.75" customHeight="1">
      <c r="C373" s="1450"/>
      <c r="D373" s="1448"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4083</v>
      </c>
      <c r="E377" s="4824" t="s">
        <v>3121</v>
      </c>
      <c r="F377" s="4824"/>
      <c r="G377" s="4824"/>
      <c r="H377" s="4824"/>
    </row>
    <row r="378" spans="1:8" ht="12.75" customHeight="1">
      <c r="C378" s="1450"/>
      <c r="D378" s="1448" t="s">
        <v>2984</v>
      </c>
      <c r="E378" s="4827" t="s">
        <v>3122</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4083</v>
      </c>
      <c r="E384" s="4824" t="s">
        <v>3121</v>
      </c>
      <c r="F384" s="4824"/>
      <c r="G384" s="4824"/>
      <c r="H384" s="4824"/>
    </row>
    <row r="385" spans="1:8" ht="12.75" customHeight="1">
      <c r="C385" s="1450"/>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4083</v>
      </c>
      <c r="E389" s="4824" t="s">
        <v>3121</v>
      </c>
      <c r="F389" s="4824"/>
      <c r="G389" s="4824"/>
      <c r="H389" s="4824"/>
    </row>
    <row r="390" spans="1:8" ht="12.75" customHeight="1">
      <c r="C390" s="1450"/>
      <c r="D390" s="1448"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4083</v>
      </c>
      <c r="E394" s="4824" t="s">
        <v>3121</v>
      </c>
      <c r="F394" s="4824"/>
      <c r="G394" s="4824"/>
      <c r="H394" s="4824"/>
    </row>
    <row r="395" spans="1:8" ht="12.75" customHeight="1">
      <c r="C395" s="1450"/>
      <c r="D395" s="1448" t="s">
        <v>2984</v>
      </c>
      <c r="E395" s="4827" t="s">
        <v>3122</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7</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4083</v>
      </c>
      <c r="E401" s="4824" t="s">
        <v>3121</v>
      </c>
      <c r="F401" s="4824"/>
      <c r="G401" s="4824"/>
      <c r="H401" s="4824"/>
    </row>
    <row r="402" spans="1:11" ht="12.75" customHeight="1">
      <c r="C402" s="1450"/>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4083</v>
      </c>
      <c r="E406" s="4824" t="s">
        <v>3121</v>
      </c>
      <c r="F406" s="4824"/>
      <c r="G406" s="4824"/>
      <c r="H406" s="4824"/>
    </row>
    <row r="407" spans="1:11" ht="12.75" customHeight="1">
      <c r="C407" s="1450"/>
      <c r="D407" s="1448"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4083</v>
      </c>
      <c r="E411" s="4824" t="s">
        <v>3121</v>
      </c>
      <c r="F411" s="4824"/>
      <c r="G411" s="4824"/>
      <c r="H411" s="4824"/>
    </row>
    <row r="412" spans="1:11" ht="12.75" customHeight="1">
      <c r="C412" s="1450"/>
      <c r="D412" s="1448" t="s">
        <v>2984</v>
      </c>
      <c r="E412" s="4827" t="s">
        <v>3122</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149999999999999" customHeight="1" thickBot="1">
      <c r="A421" s="4825">
        <v>70</v>
      </c>
      <c r="B421" s="4826"/>
      <c r="C421" s="1451" t="s">
        <v>975</v>
      </c>
    </row>
    <row r="422" spans="1:8" ht="9" customHeight="1">
      <c r="A422" s="611"/>
    </row>
    <row r="423" spans="1:8" ht="28.15" customHeight="1">
      <c r="A423" s="4824" t="s">
        <v>4089</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4083</v>
      </c>
      <c r="E429" s="4824" t="s">
        <v>3121</v>
      </c>
      <c r="F429" s="4824"/>
      <c r="G429" s="4824"/>
      <c r="H429" s="4824"/>
    </row>
    <row r="430" spans="1:8" ht="12.75" customHeight="1">
      <c r="C430" s="1450"/>
      <c r="D430" s="1448"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4083</v>
      </c>
      <c r="E434" s="4824" t="s">
        <v>3121</v>
      </c>
      <c r="F434" s="4824"/>
      <c r="G434" s="4824"/>
      <c r="H434" s="4824"/>
    </row>
    <row r="435" spans="1:8" ht="12.75" customHeight="1">
      <c r="C435" s="1450"/>
      <c r="D435" s="1448"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4083</v>
      </c>
      <c r="E439" s="4824" t="s">
        <v>3121</v>
      </c>
      <c r="F439" s="4824"/>
      <c r="G439" s="4824"/>
      <c r="H439" s="4824"/>
    </row>
    <row r="440" spans="1:8" ht="12.75" customHeight="1">
      <c r="C440" s="1450"/>
      <c r="D440" s="1448" t="s">
        <v>2984</v>
      </c>
      <c r="E440" s="4827" t="s">
        <v>3122</v>
      </c>
      <c r="F440" s="4827"/>
      <c r="G440" s="4827"/>
      <c r="H440" s="4827"/>
    </row>
    <row r="441" spans="1:8" ht="6" customHeight="1">
      <c r="D441" s="639"/>
      <c r="E441" s="1025"/>
      <c r="F441" s="1025"/>
      <c r="G441" s="1025"/>
      <c r="H441" s="1025"/>
    </row>
    <row r="442" spans="1:8">
      <c r="A442" s="620" t="s">
        <v>2980</v>
      </c>
      <c r="B442" s="637">
        <f>IF('Part V-Revenues &amp; Expenses'!$L$57=0,"",'Part V-Revenues &amp; Expenses'!$L$57)</f>
        <v>1</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4083</v>
      </c>
      <c r="E446" s="4824" t="s">
        <v>3121</v>
      </c>
      <c r="F446" s="4824"/>
      <c r="G446" s="4824"/>
      <c r="H446" s="4824"/>
    </row>
    <row r="447" spans="1:8" ht="12.75" customHeight="1">
      <c r="C447" s="1450"/>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4083</v>
      </c>
      <c r="E451" s="4824" t="s">
        <v>3121</v>
      </c>
      <c r="F451" s="4824"/>
      <c r="G451" s="4824"/>
      <c r="H451" s="4824"/>
    </row>
    <row r="452" spans="1:8" ht="12.75" customHeight="1">
      <c r="C452" s="1450"/>
      <c r="D452" s="1448"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4083</v>
      </c>
      <c r="E456" s="4824" t="s">
        <v>3121</v>
      </c>
      <c r="F456" s="4824"/>
      <c r="G456" s="4824"/>
      <c r="H456" s="4824"/>
    </row>
    <row r="457" spans="1:8" ht="12.75" customHeight="1">
      <c r="C457" s="1450"/>
      <c r="D457" s="1448" t="s">
        <v>2984</v>
      </c>
      <c r="E457" s="4827" t="s">
        <v>3122</v>
      </c>
      <c r="F457" s="4827"/>
      <c r="G457" s="4827"/>
      <c r="H457" s="4827"/>
    </row>
    <row r="458" spans="1:8" ht="6" customHeight="1">
      <c r="D458" s="639"/>
      <c r="E458" s="1025"/>
      <c r="F458" s="1025"/>
      <c r="G458" s="1025"/>
      <c r="H458" s="1025"/>
    </row>
    <row r="459" spans="1:8">
      <c r="A459" s="620" t="s">
        <v>2980</v>
      </c>
      <c r="B459" s="637">
        <f>IF('Part V-Revenues &amp; Expenses'!$M$57=0,"",'Part V-Revenues &amp; Expenses'!$M$57)</f>
        <v>4</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4083</v>
      </c>
      <c r="E463" s="4824" t="s">
        <v>3121</v>
      </c>
      <c r="F463" s="4824"/>
      <c r="G463" s="4824"/>
      <c r="H463" s="4824"/>
    </row>
    <row r="464" spans="1:8" ht="12.75" customHeight="1">
      <c r="C464" s="1450"/>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4083</v>
      </c>
      <c r="E468" s="4824" t="s">
        <v>3121</v>
      </c>
      <c r="F468" s="4824"/>
      <c r="G468" s="4824"/>
      <c r="H468" s="4824"/>
    </row>
    <row r="469" spans="1:8" ht="12.75" customHeight="1">
      <c r="C469" s="1450"/>
      <c r="D469" s="1448"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4083</v>
      </c>
      <c r="E473" s="4824" t="s">
        <v>3121</v>
      </c>
      <c r="F473" s="4824"/>
      <c r="G473" s="4824"/>
      <c r="H473" s="4824"/>
    </row>
    <row r="474" spans="1:8" ht="12.75" customHeight="1">
      <c r="C474" s="1450"/>
      <c r="D474" s="1448" t="s">
        <v>2984</v>
      </c>
      <c r="E474" s="4827" t="s">
        <v>3122</v>
      </c>
      <c r="F474" s="4827"/>
      <c r="G474" s="4827"/>
      <c r="H474" s="4827"/>
    </row>
    <row r="475" spans="1:8" ht="6" customHeight="1">
      <c r="D475" s="639"/>
      <c r="E475" s="1025"/>
      <c r="F475" s="1025"/>
      <c r="G475" s="1025"/>
      <c r="H475" s="1025"/>
    </row>
    <row r="476" spans="1:8">
      <c r="A476" s="620" t="s">
        <v>2980</v>
      </c>
      <c r="B476" s="637">
        <f>IF('Part V-Revenues &amp; Expenses'!$N$57=0,"",'Part V-Revenues &amp; Expenses'!$N$57)</f>
        <v>2</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4083</v>
      </c>
      <c r="E480" s="4824" t="s">
        <v>3121</v>
      </c>
      <c r="F480" s="4824"/>
      <c r="G480" s="4824"/>
      <c r="H480" s="4824"/>
    </row>
    <row r="481" spans="1:11" ht="12.75" customHeight="1">
      <c r="C481" s="1450"/>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4083</v>
      </c>
      <c r="E485" s="4824" t="s">
        <v>3121</v>
      </c>
      <c r="F485" s="4824"/>
      <c r="G485" s="4824"/>
      <c r="H485" s="4824"/>
    </row>
    <row r="486" spans="1:11" ht="12.75" customHeight="1">
      <c r="C486" s="1450"/>
      <c r="D486" s="1448"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4083</v>
      </c>
      <c r="E490" s="4824" t="s">
        <v>3121</v>
      </c>
      <c r="F490" s="4824"/>
      <c r="G490" s="4824"/>
      <c r="H490" s="4824"/>
    </row>
    <row r="491" spans="1:11" ht="12.75" customHeight="1">
      <c r="C491" s="1450"/>
      <c r="D491" s="1448" t="s">
        <v>2984</v>
      </c>
      <c r="E491" s="4827" t="s">
        <v>3122</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149999999999999" customHeight="1" thickBot="1">
      <c r="A500" s="4825">
        <v>80</v>
      </c>
      <c r="B500" s="4826"/>
      <c r="C500" s="1451" t="s">
        <v>975</v>
      </c>
    </row>
    <row r="501" spans="1:8" ht="9" customHeight="1">
      <c r="A501" s="611"/>
    </row>
    <row r="502" spans="1:8" ht="28.15" customHeight="1">
      <c r="A502" s="4824" t="s">
        <v>4090</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4083</v>
      </c>
      <c r="E508" s="4824" t="s">
        <v>3121</v>
      </c>
      <c r="F508" s="4824"/>
      <c r="G508" s="4824"/>
      <c r="H508" s="4824"/>
    </row>
    <row r="509" spans="1:8" ht="12.75" customHeight="1">
      <c r="C509" s="1450"/>
      <c r="D509" s="1448"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4083</v>
      </c>
      <c r="E513" s="4824" t="s">
        <v>3121</v>
      </c>
      <c r="F513" s="4824"/>
      <c r="G513" s="4824"/>
      <c r="H513" s="4824"/>
    </row>
    <row r="514" spans="1:8" ht="12.75" customHeight="1">
      <c r="C514" s="1450"/>
      <c r="D514" s="1448"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4083</v>
      </c>
      <c r="E518" s="4824" t="s">
        <v>3121</v>
      </c>
      <c r="F518" s="4824"/>
      <c r="G518" s="4824"/>
      <c r="H518" s="4824"/>
    </row>
    <row r="519" spans="1:8" ht="12.75" customHeight="1">
      <c r="C519" s="1450"/>
      <c r="D519" s="1448" t="s">
        <v>2984</v>
      </c>
      <c r="E519" s="4827" t="s">
        <v>3122</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4083</v>
      </c>
      <c r="E525" s="4824" t="s">
        <v>3121</v>
      </c>
      <c r="F525" s="4824"/>
      <c r="G525" s="4824"/>
      <c r="H525" s="4824"/>
    </row>
    <row r="526" spans="1:8" ht="12.75" customHeight="1">
      <c r="C526" s="1450"/>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4083</v>
      </c>
      <c r="E530" s="4824" t="s">
        <v>3121</v>
      </c>
      <c r="F530" s="4824"/>
      <c r="G530" s="4824"/>
      <c r="H530" s="4824"/>
    </row>
    <row r="531" spans="1:8" ht="12.75" customHeight="1">
      <c r="C531" s="1450"/>
      <c r="D531" s="1448"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4083</v>
      </c>
      <c r="E535" s="4824" t="s">
        <v>3121</v>
      </c>
      <c r="F535" s="4824"/>
      <c r="G535" s="4824"/>
      <c r="H535" s="4824"/>
    </row>
    <row r="536" spans="1:8" ht="12.75" customHeight="1">
      <c r="C536" s="1450"/>
      <c r="D536" s="1448" t="s">
        <v>2984</v>
      </c>
      <c r="E536" s="4827" t="s">
        <v>3122</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4083</v>
      </c>
      <c r="E542" s="4824" t="s">
        <v>3121</v>
      </c>
      <c r="F542" s="4824"/>
      <c r="G542" s="4824"/>
      <c r="H542" s="4824"/>
    </row>
    <row r="543" spans="1:8" ht="12.75" customHeight="1">
      <c r="C543" s="1450"/>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4083</v>
      </c>
      <c r="E547" s="4824" t="s">
        <v>3121</v>
      </c>
      <c r="F547" s="4824"/>
      <c r="G547" s="4824"/>
      <c r="H547" s="4824"/>
    </row>
    <row r="548" spans="1:8" ht="12.75" customHeight="1">
      <c r="C548" s="1450"/>
      <c r="D548" s="1448"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4083</v>
      </c>
      <c r="E552" s="4824" t="s">
        <v>3121</v>
      </c>
      <c r="F552" s="4824"/>
      <c r="G552" s="4824"/>
      <c r="H552" s="4824"/>
    </row>
    <row r="553" spans="1:8" ht="12.75" customHeight="1">
      <c r="C553" s="1450"/>
      <c r="D553" s="1448" t="s">
        <v>2984</v>
      </c>
      <c r="E553" s="4827" t="s">
        <v>3122</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4083</v>
      </c>
      <c r="E559" s="4824" t="s">
        <v>3121</v>
      </c>
      <c r="F559" s="4824"/>
      <c r="G559" s="4824"/>
      <c r="H559" s="4824"/>
    </row>
    <row r="560" spans="1:8" ht="12.75" customHeight="1">
      <c r="C560" s="1450"/>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4083</v>
      </c>
      <c r="E564" s="4824" t="s">
        <v>3121</v>
      </c>
      <c r="F564" s="4824"/>
      <c r="G564" s="4824"/>
      <c r="H564" s="4824"/>
    </row>
    <row r="565" spans="1:11" ht="12.75" customHeight="1">
      <c r="C565" s="1450"/>
      <c r="D565" s="1448"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4083</v>
      </c>
      <c r="E569" s="4824" t="s">
        <v>3121</v>
      </c>
      <c r="F569" s="4824"/>
      <c r="G569" s="4824"/>
      <c r="H569" s="4824"/>
    </row>
    <row r="570" spans="1:11" ht="12.75" customHeight="1">
      <c r="C570" s="1450"/>
      <c r="D570" s="1448" t="s">
        <v>2984</v>
      </c>
      <c r="E570" s="4827" t="s">
        <v>3122</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4" t="str">
        <f>CONCATENATE("PART TWO - DEVELOPMENT TEAM INFORMATION","  -  ",'Part I-Project Identification'!$O$7," ",'Part I-Project Identification'!$F$25,", ",'Part I-Project Identification'!F26,", ",'Part I-Project Identification'!J26," County")</f>
        <v>PART TWO - DEVELOPMENT TEAM INFORMATION  -  2023-0 Windsor Crossing, Nashville, Berrien County</v>
      </c>
      <c r="B2" s="3105"/>
      <c r="C2" s="3105"/>
      <c r="D2" s="3105"/>
      <c r="E2" s="3105"/>
      <c r="F2" s="3105"/>
      <c r="G2" s="3105"/>
      <c r="H2" s="3105"/>
      <c r="I2" s="3105"/>
      <c r="J2" s="3105"/>
      <c r="K2" s="3105"/>
      <c r="L2" s="3105"/>
      <c r="M2" s="3105"/>
      <c r="N2" s="3105"/>
      <c r="O2" s="3105"/>
      <c r="P2" s="3105"/>
      <c r="Q2" s="3105"/>
      <c r="R2" s="3105"/>
      <c r="S2" s="3106"/>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8" t="str">
        <f>'Part I-Project Identification'!$A$6</f>
        <v>April 2023</v>
      </c>
      <c r="P4" s="3109"/>
      <c r="Q4" s="3109"/>
      <c r="R4" s="3109"/>
      <c r="S4" s="3110"/>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8" t="s">
        <v>87</v>
      </c>
      <c r="I6" s="3092"/>
      <c r="J6" s="3092"/>
      <c r="K6" s="3092"/>
      <c r="L6" s="3092"/>
      <c r="M6" s="3092"/>
      <c r="N6" s="3093"/>
      <c r="O6" s="259" t="s">
        <v>1847</v>
      </c>
      <c r="P6" s="259"/>
      <c r="Q6" s="3018"/>
      <c r="R6" s="3092"/>
      <c r="S6" s="3093"/>
      <c r="Y6" s="839"/>
      <c r="Z6" s="1706">
        <v>6</v>
      </c>
    </row>
    <row r="7" spans="1:26" s="144" customFormat="1" ht="11.25" customHeight="1">
      <c r="D7" s="260"/>
      <c r="E7" s="246" t="s">
        <v>957</v>
      </c>
      <c r="F7" s="247"/>
      <c r="H7" s="3060"/>
      <c r="I7" s="3095"/>
      <c r="J7" s="3095"/>
      <c r="K7" s="3096"/>
      <c r="L7" s="3095"/>
      <c r="M7" s="3095"/>
      <c r="N7" s="3097"/>
      <c r="O7" s="259" t="s">
        <v>1624</v>
      </c>
      <c r="P7" s="261"/>
      <c r="Q7" s="3098"/>
      <c r="R7" s="3099"/>
      <c r="S7" s="3100"/>
      <c r="V7" s="839"/>
      <c r="W7" s="839"/>
      <c r="X7" s="839"/>
      <c r="Y7" s="839"/>
      <c r="Z7" s="1706">
        <v>7</v>
      </c>
    </row>
    <row r="8" spans="1:26" s="144" customFormat="1" ht="11.25" customHeight="1">
      <c r="D8" s="260"/>
      <c r="E8" s="246" t="s">
        <v>575</v>
      </c>
      <c r="H8" s="3060"/>
      <c r="I8" s="3096"/>
      <c r="J8" s="3101"/>
      <c r="K8" s="335" t="s">
        <v>710</v>
      </c>
      <c r="L8" s="3107"/>
      <c r="M8" s="3095"/>
      <c r="N8" s="3097"/>
      <c r="O8" s="259" t="s">
        <v>1600</v>
      </c>
      <c r="P8" s="261"/>
      <c r="Q8" s="3015"/>
      <c r="R8" s="3016"/>
      <c r="S8" s="3017"/>
      <c r="Z8" s="1706">
        <v>8</v>
      </c>
    </row>
    <row r="9" spans="1:26" s="144" customFormat="1" ht="11.25" customHeight="1">
      <c r="D9" s="260"/>
      <c r="E9" s="246" t="s">
        <v>1671</v>
      </c>
      <c r="H9" s="997"/>
      <c r="I9" s="676" t="s">
        <v>2061</v>
      </c>
      <c r="J9" s="3084"/>
      <c r="K9" s="3085"/>
      <c r="L9" s="261" t="s">
        <v>3194</v>
      </c>
      <c r="M9" s="3086"/>
      <c r="N9" s="3087"/>
      <c r="O9" s="259" t="s">
        <v>1838</v>
      </c>
      <c r="P9" s="261"/>
      <c r="Q9" s="3015"/>
      <c r="R9" s="3016"/>
      <c r="S9" s="3017"/>
      <c r="Z9" s="1706">
        <v>9</v>
      </c>
    </row>
    <row r="10" spans="1:26" s="144" customFormat="1" ht="11.25" customHeight="1">
      <c r="D10" s="260"/>
      <c r="E10" s="246" t="s">
        <v>3461</v>
      </c>
      <c r="H10" s="3088"/>
      <c r="I10" s="3089"/>
      <c r="J10" s="711"/>
      <c r="K10" s="262" t="s">
        <v>1842</v>
      </c>
      <c r="L10" s="3090"/>
      <c r="M10" s="3025"/>
      <c r="N10" s="3025"/>
      <c r="O10" s="3022"/>
      <c r="P10" s="3022"/>
      <c r="Q10" s="3025"/>
      <c r="R10" s="3025"/>
      <c r="S10" s="3091"/>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8"/>
      <c r="I15" s="3092"/>
      <c r="J15" s="3092"/>
      <c r="K15" s="3092"/>
      <c r="L15" s="3092"/>
      <c r="M15" s="3092"/>
      <c r="N15" s="3093"/>
      <c r="O15" s="259" t="s">
        <v>1847</v>
      </c>
      <c r="P15" s="259"/>
      <c r="Q15" s="3018"/>
      <c r="R15" s="3092"/>
      <c r="S15" s="3093"/>
      <c r="Z15" s="1706">
        <v>15</v>
      </c>
    </row>
    <row r="16" spans="1:26" s="144" customFormat="1" ht="11.25" customHeight="1">
      <c r="D16" s="260"/>
      <c r="E16" s="246" t="s">
        <v>957</v>
      </c>
      <c r="F16" s="247"/>
      <c r="H16" s="3060"/>
      <c r="I16" s="3095"/>
      <c r="J16" s="3095"/>
      <c r="K16" s="3096"/>
      <c r="L16" s="3095"/>
      <c r="M16" s="3095"/>
      <c r="N16" s="3097"/>
      <c r="O16" s="259" t="s">
        <v>1624</v>
      </c>
      <c r="P16" s="261"/>
      <c r="Q16" s="3098"/>
      <c r="R16" s="3099"/>
      <c r="S16" s="3100"/>
      <c r="Z16" s="1706">
        <v>16</v>
      </c>
    </row>
    <row r="17" spans="4:26" s="144" customFormat="1" ht="11.25" customHeight="1">
      <c r="D17" s="260"/>
      <c r="E17" s="246" t="s">
        <v>575</v>
      </c>
      <c r="H17" s="3060"/>
      <c r="I17" s="3096"/>
      <c r="J17" s="3101"/>
      <c r="K17" s="262" t="s">
        <v>2458</v>
      </c>
      <c r="L17" s="3060"/>
      <c r="M17" s="3095"/>
      <c r="N17" s="3101"/>
      <c r="O17" s="259" t="s">
        <v>1600</v>
      </c>
      <c r="P17" s="261"/>
      <c r="Q17" s="3015"/>
      <c r="R17" s="3016"/>
      <c r="S17" s="3017"/>
      <c r="Z17" s="1706">
        <v>17</v>
      </c>
    </row>
    <row r="18" spans="4:26" s="144" customFormat="1" ht="11.25" customHeight="1">
      <c r="D18" s="243"/>
      <c r="E18" s="246" t="s">
        <v>1671</v>
      </c>
      <c r="H18" s="997"/>
      <c r="I18" s="261"/>
      <c r="J18" s="261"/>
      <c r="K18" s="676" t="s">
        <v>2061</v>
      </c>
      <c r="L18" s="3102"/>
      <c r="M18" s="3103"/>
      <c r="N18" s="261"/>
      <c r="O18" s="259" t="s">
        <v>1838</v>
      </c>
      <c r="P18" s="261"/>
      <c r="Q18" s="3015"/>
      <c r="R18" s="3016"/>
      <c r="S18" s="3017"/>
      <c r="Z18" s="1706">
        <v>18</v>
      </c>
    </row>
    <row r="19" spans="4:26" s="144" customFormat="1" ht="11.25" customHeight="1">
      <c r="D19" s="260"/>
      <c r="E19" s="246" t="s">
        <v>3461</v>
      </c>
      <c r="H19" s="3088"/>
      <c r="I19" s="3094"/>
      <c r="J19" s="255"/>
      <c r="K19" s="262" t="s">
        <v>1842</v>
      </c>
      <c r="L19" s="3024"/>
      <c r="M19" s="3025"/>
      <c r="N19" s="3022"/>
      <c r="O19" s="3022"/>
      <c r="P19" s="3022"/>
      <c r="Q19" s="3025"/>
      <c r="R19" s="3025"/>
      <c r="S19" s="3091"/>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8"/>
      <c r="I21" s="3092"/>
      <c r="J21" s="3092"/>
      <c r="K21" s="3092"/>
      <c r="L21" s="3092"/>
      <c r="M21" s="3092"/>
      <c r="N21" s="3093"/>
      <c r="O21" s="259" t="s">
        <v>1847</v>
      </c>
      <c r="P21" s="259"/>
      <c r="Q21" s="3018"/>
      <c r="R21" s="3092"/>
      <c r="S21" s="3093"/>
      <c r="Z21" s="1706">
        <v>21</v>
      </c>
    </row>
    <row r="22" spans="4:26" s="144" customFormat="1" ht="11.25" customHeight="1">
      <c r="D22" s="260"/>
      <c r="E22" s="246" t="s">
        <v>957</v>
      </c>
      <c r="F22" s="247"/>
      <c r="H22" s="3060"/>
      <c r="I22" s="3095"/>
      <c r="J22" s="3095"/>
      <c r="K22" s="3096"/>
      <c r="L22" s="3095"/>
      <c r="M22" s="3095"/>
      <c r="N22" s="3097"/>
      <c r="O22" s="259" t="s">
        <v>1624</v>
      </c>
      <c r="P22" s="261"/>
      <c r="Q22" s="3098"/>
      <c r="R22" s="3099"/>
      <c r="S22" s="3100"/>
      <c r="Z22" s="1706">
        <v>22</v>
      </c>
    </row>
    <row r="23" spans="4:26" s="144" customFormat="1" ht="11.25" customHeight="1">
      <c r="D23" s="260"/>
      <c r="E23" s="246" t="s">
        <v>575</v>
      </c>
      <c r="H23" s="3060"/>
      <c r="I23" s="3096"/>
      <c r="J23" s="3101"/>
      <c r="K23" s="262" t="s">
        <v>2458</v>
      </c>
      <c r="L23" s="3060"/>
      <c r="M23" s="3095"/>
      <c r="N23" s="3101"/>
      <c r="O23" s="259" t="s">
        <v>1600</v>
      </c>
      <c r="P23" s="261"/>
      <c r="Q23" s="3015"/>
      <c r="R23" s="3016"/>
      <c r="S23" s="3017"/>
      <c r="Z23" s="1706">
        <v>23</v>
      </c>
    </row>
    <row r="24" spans="4:26" s="144" customFormat="1" ht="11.25" customHeight="1">
      <c r="E24" s="246" t="s">
        <v>1671</v>
      </c>
      <c r="H24" s="997"/>
      <c r="I24" s="261"/>
      <c r="J24" s="261"/>
      <c r="K24" s="676" t="s">
        <v>2061</v>
      </c>
      <c r="L24" s="3102"/>
      <c r="M24" s="3103"/>
      <c r="N24" s="261"/>
      <c r="O24" s="259" t="s">
        <v>1838</v>
      </c>
      <c r="P24" s="261"/>
      <c r="Q24" s="3015"/>
      <c r="R24" s="3016"/>
      <c r="S24" s="3017"/>
      <c r="Z24" s="1706">
        <v>24</v>
      </c>
    </row>
    <row r="25" spans="4:26" s="144" customFormat="1" ht="11.25" customHeight="1">
      <c r="D25" s="260"/>
      <c r="E25" s="246" t="s">
        <v>3461</v>
      </c>
      <c r="H25" s="3088"/>
      <c r="I25" s="3094"/>
      <c r="J25" s="255"/>
      <c r="K25" s="262" t="s">
        <v>1842</v>
      </c>
      <c r="L25" s="3024"/>
      <c r="M25" s="3025"/>
      <c r="N25" s="3022"/>
      <c r="O25" s="3022"/>
      <c r="P25" s="3022"/>
      <c r="Q25" s="3025"/>
      <c r="R25" s="3025"/>
      <c r="S25" s="3091"/>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8"/>
      <c r="I27" s="3092"/>
      <c r="J27" s="3092"/>
      <c r="K27" s="3092"/>
      <c r="L27" s="3092"/>
      <c r="M27" s="3092"/>
      <c r="N27" s="3093"/>
      <c r="O27" s="259" t="s">
        <v>1847</v>
      </c>
      <c r="P27" s="259"/>
      <c r="Q27" s="3018"/>
      <c r="R27" s="3092"/>
      <c r="S27" s="3093"/>
      <c r="Z27" s="1706">
        <v>27</v>
      </c>
    </row>
    <row r="28" spans="4:26" s="144" customFormat="1" ht="11.25" customHeight="1">
      <c r="D28" s="260"/>
      <c r="E28" s="246" t="s">
        <v>957</v>
      </c>
      <c r="F28" s="247"/>
      <c r="H28" s="3060"/>
      <c r="I28" s="3095"/>
      <c r="J28" s="3095"/>
      <c r="K28" s="3096"/>
      <c r="L28" s="3095"/>
      <c r="M28" s="3095"/>
      <c r="N28" s="3097"/>
      <c r="O28" s="259" t="s">
        <v>1624</v>
      </c>
      <c r="P28" s="261"/>
      <c r="Q28" s="3098"/>
      <c r="R28" s="3099"/>
      <c r="S28" s="3100"/>
      <c r="Z28" s="1706">
        <v>28</v>
      </c>
    </row>
    <row r="29" spans="4:26" s="144" customFormat="1" ht="11.25" customHeight="1">
      <c r="D29" s="260"/>
      <c r="E29" s="246" t="s">
        <v>575</v>
      </c>
      <c r="H29" s="3060"/>
      <c r="I29" s="3096"/>
      <c r="J29" s="3101"/>
      <c r="K29" s="262" t="s">
        <v>2458</v>
      </c>
      <c r="L29" s="3060"/>
      <c r="M29" s="3095"/>
      <c r="N29" s="3101"/>
      <c r="O29" s="259" t="s">
        <v>1600</v>
      </c>
      <c r="P29" s="261"/>
      <c r="Q29" s="3015"/>
      <c r="R29" s="3016"/>
      <c r="S29" s="3017"/>
      <c r="Z29" s="1706">
        <v>29</v>
      </c>
    </row>
    <row r="30" spans="4:26" s="144" customFormat="1" ht="11.25" customHeight="1">
      <c r="E30" s="246" t="s">
        <v>1671</v>
      </c>
      <c r="H30" s="997"/>
      <c r="I30" s="261"/>
      <c r="J30" s="261"/>
      <c r="K30" s="676" t="s">
        <v>2061</v>
      </c>
      <c r="L30" s="3102"/>
      <c r="M30" s="3103"/>
      <c r="N30" s="261"/>
      <c r="O30" s="259" t="s">
        <v>1838</v>
      </c>
      <c r="P30" s="261"/>
      <c r="Q30" s="3015"/>
      <c r="R30" s="3016"/>
      <c r="S30" s="3017"/>
      <c r="Z30" s="1706">
        <v>30</v>
      </c>
    </row>
    <row r="31" spans="4:26" s="144" customFormat="1" ht="11.25" customHeight="1">
      <c r="D31" s="260"/>
      <c r="E31" s="246" t="s">
        <v>3461</v>
      </c>
      <c r="H31" s="3088"/>
      <c r="I31" s="3094"/>
      <c r="J31" s="255"/>
      <c r="K31" s="262" t="s">
        <v>1842</v>
      </c>
      <c r="L31" s="3024"/>
      <c r="M31" s="3025"/>
      <c r="N31" s="3022"/>
      <c r="O31" s="3022"/>
      <c r="P31" s="3022"/>
      <c r="Q31" s="3025"/>
      <c r="R31" s="3025"/>
      <c r="S31" s="3091"/>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8"/>
      <c r="I34" s="3092"/>
      <c r="J34" s="3092"/>
      <c r="K34" s="3092"/>
      <c r="L34" s="3092"/>
      <c r="M34" s="3092"/>
      <c r="N34" s="3093"/>
      <c r="O34" s="259" t="s">
        <v>1847</v>
      </c>
      <c r="P34" s="259"/>
      <c r="Q34" s="3018"/>
      <c r="R34" s="3092"/>
      <c r="S34" s="3093"/>
      <c r="Z34" s="1706">
        <v>34</v>
      </c>
    </row>
    <row r="35" spans="3:26" s="144" customFormat="1" ht="11.25" customHeight="1">
      <c r="D35" s="260"/>
      <c r="E35" s="246" t="s">
        <v>957</v>
      </c>
      <c r="F35" s="247"/>
      <c r="H35" s="3060"/>
      <c r="I35" s="3095"/>
      <c r="J35" s="3095"/>
      <c r="K35" s="3096"/>
      <c r="L35" s="3095"/>
      <c r="M35" s="3095"/>
      <c r="N35" s="3097"/>
      <c r="O35" s="259" t="s">
        <v>1624</v>
      </c>
      <c r="P35" s="261"/>
      <c r="Q35" s="3098"/>
      <c r="R35" s="3099"/>
      <c r="S35" s="3100"/>
      <c r="Z35" s="1706">
        <v>35</v>
      </c>
    </row>
    <row r="36" spans="3:26" s="144" customFormat="1" ht="11.25" customHeight="1">
      <c r="D36" s="260"/>
      <c r="E36" s="246" t="s">
        <v>575</v>
      </c>
      <c r="H36" s="3060"/>
      <c r="I36" s="3096"/>
      <c r="J36" s="3101"/>
      <c r="K36" s="262" t="s">
        <v>2458</v>
      </c>
      <c r="L36" s="3060"/>
      <c r="M36" s="3095"/>
      <c r="N36" s="3101"/>
      <c r="O36" s="259" t="s">
        <v>1600</v>
      </c>
      <c r="P36" s="261"/>
      <c r="Q36" s="3015"/>
      <c r="R36" s="3016"/>
      <c r="S36" s="3017"/>
      <c r="Z36" s="1706">
        <v>36</v>
      </c>
    </row>
    <row r="37" spans="3:26" s="144" customFormat="1" ht="11.25" customHeight="1">
      <c r="E37" s="246" t="s">
        <v>1671</v>
      </c>
      <c r="H37" s="997"/>
      <c r="I37" s="261"/>
      <c r="J37" s="261"/>
      <c r="K37" s="676" t="s">
        <v>2061</v>
      </c>
      <c r="L37" s="3102"/>
      <c r="M37" s="3103"/>
      <c r="N37" s="261"/>
      <c r="O37" s="259" t="s">
        <v>1838</v>
      </c>
      <c r="P37" s="261"/>
      <c r="Q37" s="3015"/>
      <c r="R37" s="3016"/>
      <c r="S37" s="3017"/>
      <c r="Z37" s="1706">
        <v>37</v>
      </c>
    </row>
    <row r="38" spans="3:26" s="144" customFormat="1" ht="11.25" customHeight="1">
      <c r="D38" s="260"/>
      <c r="E38" s="246" t="s">
        <v>3461</v>
      </c>
      <c r="H38" s="3088"/>
      <c r="I38" s="3094"/>
      <c r="J38" s="255"/>
      <c r="K38" s="262" t="s">
        <v>1842</v>
      </c>
      <c r="L38" s="3024"/>
      <c r="M38" s="3025"/>
      <c r="N38" s="3022"/>
      <c r="O38" s="3022"/>
      <c r="P38" s="3022"/>
      <c r="Q38" s="3025"/>
      <c r="R38" s="3025"/>
      <c r="S38" s="3091"/>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8"/>
      <c r="I40" s="3092"/>
      <c r="J40" s="3092"/>
      <c r="K40" s="3092"/>
      <c r="L40" s="3092"/>
      <c r="M40" s="3092"/>
      <c r="N40" s="3093"/>
      <c r="O40" s="259" t="s">
        <v>1847</v>
      </c>
      <c r="P40" s="259"/>
      <c r="Q40" s="3018"/>
      <c r="R40" s="3092"/>
      <c r="S40" s="3093"/>
      <c r="Z40" s="1706">
        <v>40</v>
      </c>
    </row>
    <row r="41" spans="3:26" s="144" customFormat="1" ht="11.25" customHeight="1">
      <c r="D41" s="260"/>
      <c r="E41" s="246" t="s">
        <v>957</v>
      </c>
      <c r="F41" s="247"/>
      <c r="H41" s="3060"/>
      <c r="I41" s="3095"/>
      <c r="J41" s="3095"/>
      <c r="K41" s="3096"/>
      <c r="L41" s="3095"/>
      <c r="M41" s="3095"/>
      <c r="N41" s="3097"/>
      <c r="O41" s="259" t="s">
        <v>1624</v>
      </c>
      <c r="P41" s="261"/>
      <c r="Q41" s="3098"/>
      <c r="R41" s="3099"/>
      <c r="S41" s="3100"/>
      <c r="Z41" s="1706">
        <v>41</v>
      </c>
    </row>
    <row r="42" spans="3:26" s="144" customFormat="1" ht="11.25" customHeight="1">
      <c r="D42" s="260"/>
      <c r="E42" s="246" t="s">
        <v>575</v>
      </c>
      <c r="H42" s="3060"/>
      <c r="I42" s="3096"/>
      <c r="J42" s="3101"/>
      <c r="K42" s="262" t="s">
        <v>2458</v>
      </c>
      <c r="L42" s="3060"/>
      <c r="M42" s="3095"/>
      <c r="N42" s="3101"/>
      <c r="O42" s="259" t="s">
        <v>1600</v>
      </c>
      <c r="P42" s="261"/>
      <c r="Q42" s="3015"/>
      <c r="R42" s="3016"/>
      <c r="S42" s="3017"/>
      <c r="Z42" s="1706">
        <v>42</v>
      </c>
    </row>
    <row r="43" spans="3:26" s="144" customFormat="1" ht="11.25" customHeight="1">
      <c r="D43" s="243"/>
      <c r="E43" s="246" t="s">
        <v>1671</v>
      </c>
      <c r="H43" s="997"/>
      <c r="I43" s="261"/>
      <c r="J43" s="261"/>
      <c r="K43" s="676" t="s">
        <v>2061</v>
      </c>
      <c r="L43" s="3102"/>
      <c r="M43" s="3103"/>
      <c r="N43" s="261"/>
      <c r="O43" s="259" t="s">
        <v>1838</v>
      </c>
      <c r="P43" s="261"/>
      <c r="Q43" s="3015"/>
      <c r="R43" s="3016"/>
      <c r="S43" s="3017"/>
      <c r="Z43" s="1706">
        <v>43</v>
      </c>
    </row>
    <row r="44" spans="3:26" s="144" customFormat="1" ht="11.25" customHeight="1">
      <c r="D44" s="260"/>
      <c r="E44" s="246" t="s">
        <v>3461</v>
      </c>
      <c r="H44" s="3088"/>
      <c r="I44" s="3094"/>
      <c r="J44" s="255"/>
      <c r="K44" s="262" t="s">
        <v>1842</v>
      </c>
      <c r="L44" s="3024"/>
      <c r="M44" s="3025"/>
      <c r="N44" s="3022"/>
      <c r="O44" s="3022"/>
      <c r="P44" s="3022"/>
      <c r="Q44" s="3025"/>
      <c r="R44" s="3025"/>
      <c r="S44" s="3091"/>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8"/>
      <c r="I47" s="3092"/>
      <c r="J47" s="3092"/>
      <c r="K47" s="3092"/>
      <c r="L47" s="3092"/>
      <c r="M47" s="3092"/>
      <c r="N47" s="3093"/>
      <c r="O47" s="259" t="s">
        <v>1847</v>
      </c>
      <c r="P47" s="259"/>
      <c r="Q47" s="3018"/>
      <c r="R47" s="3092"/>
      <c r="S47" s="3093"/>
      <c r="Z47" s="1706">
        <v>47</v>
      </c>
    </row>
    <row r="48" spans="3:26" s="144" customFormat="1" ht="11.25" customHeight="1">
      <c r="D48" s="260"/>
      <c r="E48" s="246" t="s">
        <v>957</v>
      </c>
      <c r="F48" s="247"/>
      <c r="H48" s="3060"/>
      <c r="I48" s="3095"/>
      <c r="J48" s="3095"/>
      <c r="K48" s="3096"/>
      <c r="L48" s="3095"/>
      <c r="M48" s="3095"/>
      <c r="N48" s="3097"/>
      <c r="O48" s="259" t="s">
        <v>1624</v>
      </c>
      <c r="P48" s="261"/>
      <c r="Q48" s="3098"/>
      <c r="R48" s="3099"/>
      <c r="S48" s="3100"/>
      <c r="Z48" s="1706">
        <v>48</v>
      </c>
    </row>
    <row r="49" spans="1:26" s="144" customFormat="1" ht="11.25" customHeight="1">
      <c r="D49" s="260"/>
      <c r="E49" s="246" t="s">
        <v>575</v>
      </c>
      <c r="H49" s="3060"/>
      <c r="I49" s="3096"/>
      <c r="J49" s="3101"/>
      <c r="K49" s="262" t="s">
        <v>2458</v>
      </c>
      <c r="L49" s="3060"/>
      <c r="M49" s="3095"/>
      <c r="N49" s="3101"/>
      <c r="O49" s="259" t="s">
        <v>1600</v>
      </c>
      <c r="P49" s="261"/>
      <c r="Q49" s="3015"/>
      <c r="R49" s="3016"/>
      <c r="S49" s="3017"/>
      <c r="Z49" s="1706">
        <v>49</v>
      </c>
    </row>
    <row r="50" spans="1:26" s="144" customFormat="1" ht="11.25" customHeight="1">
      <c r="E50" s="246" t="s">
        <v>1671</v>
      </c>
      <c r="H50" s="997"/>
      <c r="I50" s="261"/>
      <c r="J50" s="261"/>
      <c r="K50" s="676" t="s">
        <v>2061</v>
      </c>
      <c r="L50" s="3102"/>
      <c r="M50" s="3103"/>
      <c r="N50" s="261"/>
      <c r="O50" s="259" t="s">
        <v>1838</v>
      </c>
      <c r="P50" s="261"/>
      <c r="Q50" s="3015"/>
      <c r="R50" s="3016"/>
      <c r="S50" s="3017"/>
      <c r="Z50" s="1706">
        <v>50</v>
      </c>
    </row>
    <row r="51" spans="1:26" s="144" customFormat="1" ht="11.25" customHeight="1">
      <c r="D51" s="260"/>
      <c r="E51" s="246" t="s">
        <v>3461</v>
      </c>
      <c r="H51" s="3088"/>
      <c r="I51" s="3094"/>
      <c r="J51" s="255"/>
      <c r="K51" s="262" t="s">
        <v>1842</v>
      </c>
      <c r="L51" s="3024"/>
      <c r="M51" s="3025"/>
      <c r="N51" s="3022"/>
      <c r="O51" s="3022"/>
      <c r="P51" s="3022"/>
      <c r="Q51" s="3025"/>
      <c r="R51" s="3025"/>
      <c r="S51" s="3091"/>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8"/>
      <c r="I55" s="3092"/>
      <c r="J55" s="3092"/>
      <c r="K55" s="3092"/>
      <c r="L55" s="3092"/>
      <c r="M55" s="3092"/>
      <c r="N55" s="3093"/>
      <c r="O55" s="259" t="s">
        <v>1847</v>
      </c>
      <c r="P55" s="259"/>
      <c r="Q55" s="3018"/>
      <c r="R55" s="3092"/>
      <c r="S55" s="3093"/>
      <c r="Z55" s="1706">
        <v>55</v>
      </c>
    </row>
    <row r="56" spans="1:26" s="144" customFormat="1" ht="11.25" customHeight="1">
      <c r="D56" s="260"/>
      <c r="E56" s="246" t="s">
        <v>957</v>
      </c>
      <c r="F56" s="247"/>
      <c r="H56" s="3060"/>
      <c r="I56" s="3095"/>
      <c r="J56" s="3095"/>
      <c r="K56" s="3096"/>
      <c r="L56" s="3095"/>
      <c r="M56" s="3095"/>
      <c r="N56" s="3097"/>
      <c r="O56" s="259" t="s">
        <v>1624</v>
      </c>
      <c r="P56" s="261"/>
      <c r="Q56" s="3098"/>
      <c r="R56" s="3099"/>
      <c r="S56" s="3100"/>
      <c r="Z56" s="1706">
        <v>56</v>
      </c>
    </row>
    <row r="57" spans="1:26" s="144" customFormat="1" ht="11.25" customHeight="1">
      <c r="D57" s="260"/>
      <c r="E57" s="246" t="s">
        <v>575</v>
      </c>
      <c r="H57" s="3060"/>
      <c r="I57" s="3096"/>
      <c r="J57" s="3101"/>
      <c r="K57" s="262" t="s">
        <v>2458</v>
      </c>
      <c r="L57" s="3060"/>
      <c r="M57" s="3095"/>
      <c r="N57" s="3101"/>
      <c r="O57" s="259" t="s">
        <v>1600</v>
      </c>
      <c r="P57" s="261"/>
      <c r="Q57" s="3015"/>
      <c r="R57" s="3016"/>
      <c r="S57" s="3017"/>
      <c r="Z57" s="1706">
        <v>57</v>
      </c>
    </row>
    <row r="58" spans="1:26" s="144" customFormat="1" ht="11.25" customHeight="1">
      <c r="E58" s="246" t="s">
        <v>1671</v>
      </c>
      <c r="H58" s="997"/>
      <c r="I58" s="261"/>
      <c r="J58" s="261"/>
      <c r="K58" s="676" t="s">
        <v>2061</v>
      </c>
      <c r="L58" s="3102"/>
      <c r="M58" s="3103"/>
      <c r="N58" s="261"/>
      <c r="O58" s="259" t="s">
        <v>1838</v>
      </c>
      <c r="P58" s="261"/>
      <c r="Q58" s="3015"/>
      <c r="R58" s="3016"/>
      <c r="S58" s="3017"/>
      <c r="Z58" s="1706">
        <v>58</v>
      </c>
    </row>
    <row r="59" spans="1:26" s="144" customFormat="1" ht="11.25" customHeight="1">
      <c r="D59" s="260"/>
      <c r="E59" s="246" t="s">
        <v>3461</v>
      </c>
      <c r="H59" s="3088"/>
      <c r="I59" s="3094"/>
      <c r="J59" s="255"/>
      <c r="K59" s="262" t="s">
        <v>1842</v>
      </c>
      <c r="L59" s="3024"/>
      <c r="M59" s="3025"/>
      <c r="N59" s="3022"/>
      <c r="O59" s="3022"/>
      <c r="P59" s="3022"/>
      <c r="Q59" s="3025"/>
      <c r="R59" s="3025"/>
      <c r="S59" s="3091"/>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8"/>
      <c r="I61" s="3092"/>
      <c r="J61" s="3092"/>
      <c r="K61" s="3092"/>
      <c r="L61" s="3092"/>
      <c r="M61" s="3092"/>
      <c r="N61" s="3093"/>
      <c r="O61" s="259" t="s">
        <v>1847</v>
      </c>
      <c r="P61" s="259"/>
      <c r="Q61" s="3018"/>
      <c r="R61" s="3092"/>
      <c r="S61" s="3093"/>
      <c r="Z61" s="1706">
        <v>61</v>
      </c>
    </row>
    <row r="62" spans="1:26" s="144" customFormat="1" ht="11.25" customHeight="1">
      <c r="D62" s="260"/>
      <c r="E62" s="246" t="s">
        <v>957</v>
      </c>
      <c r="F62" s="247"/>
      <c r="H62" s="3060"/>
      <c r="I62" s="3095"/>
      <c r="J62" s="3095"/>
      <c r="K62" s="3096"/>
      <c r="L62" s="3095"/>
      <c r="M62" s="3095"/>
      <c r="N62" s="3097"/>
      <c r="O62" s="259" t="s">
        <v>1624</v>
      </c>
      <c r="P62" s="261"/>
      <c r="Q62" s="3098"/>
      <c r="R62" s="3099"/>
      <c r="S62" s="3100"/>
      <c r="Z62" s="1706">
        <v>62</v>
      </c>
    </row>
    <row r="63" spans="1:26" s="144" customFormat="1" ht="11.25" customHeight="1">
      <c r="D63" s="260"/>
      <c r="E63" s="246" t="s">
        <v>575</v>
      </c>
      <c r="H63" s="3060"/>
      <c r="I63" s="3096"/>
      <c r="J63" s="3101"/>
      <c r="K63" s="262" t="s">
        <v>2458</v>
      </c>
      <c r="L63" s="3060"/>
      <c r="M63" s="3095"/>
      <c r="N63" s="3101"/>
      <c r="O63" s="259" t="s">
        <v>1600</v>
      </c>
      <c r="P63" s="261"/>
      <c r="Q63" s="3015"/>
      <c r="R63" s="3016"/>
      <c r="S63" s="3017"/>
      <c r="Z63" s="1706">
        <v>63</v>
      </c>
    </row>
    <row r="64" spans="1:26" s="144" customFormat="1" ht="11.25" customHeight="1">
      <c r="E64" s="246" t="s">
        <v>1671</v>
      </c>
      <c r="H64" s="997"/>
      <c r="I64" s="261"/>
      <c r="J64" s="261"/>
      <c r="K64" s="676" t="s">
        <v>2061</v>
      </c>
      <c r="L64" s="3102"/>
      <c r="M64" s="3103"/>
      <c r="N64" s="261"/>
      <c r="O64" s="259" t="s">
        <v>1838</v>
      </c>
      <c r="P64" s="261"/>
      <c r="Q64" s="3015"/>
      <c r="R64" s="3016"/>
      <c r="S64" s="3017"/>
      <c r="Z64" s="1706">
        <v>64</v>
      </c>
    </row>
    <row r="65" spans="1:26" s="144" customFormat="1" ht="11.25" customHeight="1">
      <c r="D65" s="260"/>
      <c r="E65" s="246" t="s">
        <v>3461</v>
      </c>
      <c r="H65" s="3088"/>
      <c r="I65" s="3094"/>
      <c r="J65" s="255"/>
      <c r="K65" s="262" t="s">
        <v>1842</v>
      </c>
      <c r="L65" s="3024"/>
      <c r="M65" s="3025"/>
      <c r="N65" s="3022"/>
      <c r="O65" s="3022"/>
      <c r="P65" s="3022"/>
      <c r="Q65" s="3025"/>
      <c r="R65" s="3025"/>
      <c r="S65" s="3091"/>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8"/>
      <c r="I67" s="3092"/>
      <c r="J67" s="3092"/>
      <c r="K67" s="3092"/>
      <c r="L67" s="3092"/>
      <c r="M67" s="3092"/>
      <c r="N67" s="3093"/>
      <c r="O67" s="259" t="s">
        <v>1847</v>
      </c>
      <c r="P67" s="259"/>
      <c r="Q67" s="3018"/>
      <c r="R67" s="3092"/>
      <c r="S67" s="3093"/>
      <c r="Z67" s="1706">
        <v>67</v>
      </c>
    </row>
    <row r="68" spans="1:26" s="144" customFormat="1" ht="11.25" customHeight="1">
      <c r="D68" s="260"/>
      <c r="E68" s="246" t="s">
        <v>957</v>
      </c>
      <c r="F68" s="247"/>
      <c r="H68" s="3060"/>
      <c r="I68" s="3095"/>
      <c r="J68" s="3095"/>
      <c r="K68" s="3096"/>
      <c r="L68" s="3095"/>
      <c r="M68" s="3095"/>
      <c r="N68" s="3097"/>
      <c r="O68" s="259" t="s">
        <v>1624</v>
      </c>
      <c r="P68" s="261"/>
      <c r="Q68" s="3098"/>
      <c r="R68" s="3099"/>
      <c r="S68" s="3100"/>
      <c r="Z68" s="1706">
        <v>68</v>
      </c>
    </row>
    <row r="69" spans="1:26" s="144" customFormat="1" ht="11.25" customHeight="1">
      <c r="D69" s="260"/>
      <c r="E69" s="246" t="s">
        <v>575</v>
      </c>
      <c r="H69" s="3060"/>
      <c r="I69" s="3096"/>
      <c r="J69" s="3101"/>
      <c r="K69" s="262" t="s">
        <v>2458</v>
      </c>
      <c r="L69" s="3060"/>
      <c r="M69" s="3095"/>
      <c r="N69" s="3101"/>
      <c r="O69" s="259" t="s">
        <v>1600</v>
      </c>
      <c r="P69" s="261"/>
      <c r="Q69" s="3015"/>
      <c r="R69" s="3016"/>
      <c r="S69" s="3017"/>
      <c r="Z69" s="1706">
        <v>69</v>
      </c>
    </row>
    <row r="70" spans="1:26" s="144" customFormat="1" ht="11.25" customHeight="1">
      <c r="E70" s="246" t="s">
        <v>1671</v>
      </c>
      <c r="H70" s="997"/>
      <c r="I70" s="261"/>
      <c r="J70" s="261"/>
      <c r="K70" s="676" t="s">
        <v>2061</v>
      </c>
      <c r="L70" s="3102"/>
      <c r="M70" s="3103"/>
      <c r="N70" s="261"/>
      <c r="O70" s="259" t="s">
        <v>1838</v>
      </c>
      <c r="P70" s="261"/>
      <c r="Q70" s="3015"/>
      <c r="R70" s="3016"/>
      <c r="S70" s="3017"/>
      <c r="Z70" s="1706">
        <v>70</v>
      </c>
    </row>
    <row r="71" spans="1:26" s="144" customFormat="1" ht="11.25" customHeight="1">
      <c r="D71" s="260"/>
      <c r="E71" s="246" t="s">
        <v>3461</v>
      </c>
      <c r="H71" s="3088"/>
      <c r="I71" s="3094"/>
      <c r="J71" s="255"/>
      <c r="K71" s="262" t="s">
        <v>1842</v>
      </c>
      <c r="L71" s="3024"/>
      <c r="M71" s="3025"/>
      <c r="N71" s="3022"/>
      <c r="O71" s="3022"/>
      <c r="P71" s="3022"/>
      <c r="Q71" s="3025"/>
      <c r="R71" s="3025"/>
      <c r="S71" s="3091"/>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8"/>
      <c r="I73" s="3092"/>
      <c r="J73" s="3092"/>
      <c r="K73" s="3092"/>
      <c r="L73" s="3092"/>
      <c r="M73" s="3092"/>
      <c r="N73" s="3093"/>
      <c r="O73" s="259" t="s">
        <v>1847</v>
      </c>
      <c r="P73" s="259"/>
      <c r="Q73" s="3018"/>
      <c r="R73" s="3092"/>
      <c r="S73" s="3093"/>
      <c r="Z73" s="1706">
        <v>73</v>
      </c>
    </row>
    <row r="74" spans="1:26" s="144" customFormat="1" ht="11.25" customHeight="1">
      <c r="D74" s="260"/>
      <c r="E74" s="246" t="s">
        <v>957</v>
      </c>
      <c r="F74" s="247"/>
      <c r="H74" s="3060"/>
      <c r="I74" s="3095"/>
      <c r="J74" s="3095"/>
      <c r="K74" s="3096"/>
      <c r="L74" s="3095"/>
      <c r="M74" s="3095"/>
      <c r="N74" s="3097"/>
      <c r="O74" s="259" t="s">
        <v>1624</v>
      </c>
      <c r="P74" s="261"/>
      <c r="Q74" s="3098"/>
      <c r="R74" s="3099"/>
      <c r="S74" s="3100"/>
      <c r="Z74" s="1706">
        <v>74</v>
      </c>
    </row>
    <row r="75" spans="1:26" s="144" customFormat="1" ht="11.25" customHeight="1">
      <c r="D75" s="260"/>
      <c r="E75" s="246" t="s">
        <v>575</v>
      </c>
      <c r="H75" s="3060"/>
      <c r="I75" s="3096"/>
      <c r="J75" s="3101"/>
      <c r="K75" s="262" t="s">
        <v>2458</v>
      </c>
      <c r="L75" s="3060"/>
      <c r="M75" s="3095"/>
      <c r="N75" s="3101"/>
      <c r="O75" s="259" t="s">
        <v>1600</v>
      </c>
      <c r="P75" s="261"/>
      <c r="Q75" s="3015"/>
      <c r="R75" s="3016"/>
      <c r="S75" s="3017"/>
      <c r="Z75" s="1706">
        <v>75</v>
      </c>
    </row>
    <row r="76" spans="1:26" s="144" customFormat="1" ht="11.25" customHeight="1">
      <c r="E76" s="246" t="s">
        <v>1671</v>
      </c>
      <c r="H76" s="997"/>
      <c r="I76" s="261"/>
      <c r="J76" s="261"/>
      <c r="K76" s="676" t="s">
        <v>2061</v>
      </c>
      <c r="L76" s="3102"/>
      <c r="M76" s="3103"/>
      <c r="N76" s="261"/>
      <c r="O76" s="259" t="s">
        <v>1838</v>
      </c>
      <c r="P76" s="261"/>
      <c r="Q76" s="3015"/>
      <c r="R76" s="3016"/>
      <c r="S76" s="3017"/>
      <c r="Z76" s="1706">
        <v>76</v>
      </c>
    </row>
    <row r="77" spans="1:26" s="144" customFormat="1" ht="11.25" customHeight="1">
      <c r="D77" s="260"/>
      <c r="E77" s="246" t="s">
        <v>3461</v>
      </c>
      <c r="H77" s="3088"/>
      <c r="I77" s="3094"/>
      <c r="J77" s="255"/>
      <c r="K77" s="262" t="s">
        <v>1842</v>
      </c>
      <c r="L77" s="3024"/>
      <c r="M77" s="3025"/>
      <c r="N77" s="3022"/>
      <c r="O77" s="3022"/>
      <c r="P77" s="3022"/>
      <c r="Q77" s="3025"/>
      <c r="R77" s="3025"/>
      <c r="S77" s="3091"/>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8"/>
      <c r="I81" s="3092"/>
      <c r="J81" s="3092"/>
      <c r="K81" s="3092"/>
      <c r="L81" s="3092"/>
      <c r="M81" s="3092"/>
      <c r="N81" s="3093"/>
      <c r="O81" s="259" t="s">
        <v>1847</v>
      </c>
      <c r="P81" s="259"/>
      <c r="Q81" s="3018"/>
      <c r="R81" s="3092"/>
      <c r="S81" s="3093"/>
      <c r="Z81" s="1706">
        <v>81</v>
      </c>
    </row>
    <row r="82" spans="2:26" s="144" customFormat="1" ht="11.25" customHeight="1">
      <c r="D82" s="260"/>
      <c r="E82" s="246" t="s">
        <v>957</v>
      </c>
      <c r="F82" s="247"/>
      <c r="H82" s="3060"/>
      <c r="I82" s="3095"/>
      <c r="J82" s="3095"/>
      <c r="K82" s="3096"/>
      <c r="L82" s="3095"/>
      <c r="M82" s="3095"/>
      <c r="N82" s="3097"/>
      <c r="O82" s="259" t="s">
        <v>1624</v>
      </c>
      <c r="P82" s="261"/>
      <c r="Q82" s="3098"/>
      <c r="R82" s="3099"/>
      <c r="S82" s="3100"/>
      <c r="Z82" s="1706">
        <v>82</v>
      </c>
    </row>
    <row r="83" spans="2:26" s="144" customFormat="1" ht="11.25" customHeight="1">
      <c r="D83" s="260"/>
      <c r="E83" s="246" t="s">
        <v>575</v>
      </c>
      <c r="H83" s="3060"/>
      <c r="I83" s="3096"/>
      <c r="J83" s="3101"/>
      <c r="K83" s="262" t="s">
        <v>2458</v>
      </c>
      <c r="L83" s="3060"/>
      <c r="M83" s="3095"/>
      <c r="N83" s="3101"/>
      <c r="O83" s="259" t="s">
        <v>1600</v>
      </c>
      <c r="P83" s="261"/>
      <c r="Q83" s="3015"/>
      <c r="R83" s="3016"/>
      <c r="S83" s="3017"/>
      <c r="Z83" s="1706">
        <v>83</v>
      </c>
    </row>
    <row r="84" spans="2:26" s="144" customFormat="1" ht="11.25" customHeight="1">
      <c r="E84" s="246" t="s">
        <v>1671</v>
      </c>
      <c r="H84" s="997"/>
      <c r="I84" s="261"/>
      <c r="J84" s="261"/>
      <c r="K84" s="676" t="s">
        <v>2061</v>
      </c>
      <c r="L84" s="3102"/>
      <c r="M84" s="3103"/>
      <c r="N84" s="261"/>
      <c r="O84" s="259" t="s">
        <v>1838</v>
      </c>
      <c r="P84" s="261"/>
      <c r="Q84" s="3015"/>
      <c r="R84" s="3016"/>
      <c r="S84" s="3017"/>
      <c r="Z84" s="1706">
        <v>84</v>
      </c>
    </row>
    <row r="85" spans="2:26" s="144" customFormat="1" ht="11.25" customHeight="1">
      <c r="D85" s="260"/>
      <c r="E85" s="246" t="s">
        <v>3461</v>
      </c>
      <c r="H85" s="3088"/>
      <c r="I85" s="3094"/>
      <c r="J85" s="255"/>
      <c r="K85" s="262" t="s">
        <v>1842</v>
      </c>
      <c r="L85" s="3024"/>
      <c r="M85" s="3025"/>
      <c r="N85" s="3022"/>
      <c r="O85" s="3022"/>
      <c r="P85" s="3022"/>
      <c r="Q85" s="3025"/>
      <c r="R85" s="3025"/>
      <c r="S85" s="3091"/>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8"/>
      <c r="I87" s="3092"/>
      <c r="J87" s="3092"/>
      <c r="K87" s="3092"/>
      <c r="L87" s="3092"/>
      <c r="M87" s="3092"/>
      <c r="N87" s="3093"/>
      <c r="O87" s="259" t="s">
        <v>1847</v>
      </c>
      <c r="P87" s="259"/>
      <c r="Q87" s="3018"/>
      <c r="R87" s="3092"/>
      <c r="S87" s="3093"/>
      <c r="Z87" s="1706">
        <v>87</v>
      </c>
    </row>
    <row r="88" spans="2:26" s="144" customFormat="1" ht="11.25" customHeight="1">
      <c r="D88" s="260"/>
      <c r="E88" s="246" t="s">
        <v>957</v>
      </c>
      <c r="F88" s="247"/>
      <c r="H88" s="3060"/>
      <c r="I88" s="3095"/>
      <c r="J88" s="3095"/>
      <c r="K88" s="3096"/>
      <c r="L88" s="3095"/>
      <c r="M88" s="3095"/>
      <c r="N88" s="3097"/>
      <c r="O88" s="259" t="s">
        <v>1624</v>
      </c>
      <c r="P88" s="261"/>
      <c r="Q88" s="3098"/>
      <c r="R88" s="3099"/>
      <c r="S88" s="3100"/>
      <c r="Z88" s="1706">
        <v>88</v>
      </c>
    </row>
    <row r="89" spans="2:26" s="144" customFormat="1" ht="11.25" customHeight="1">
      <c r="D89" s="260"/>
      <c r="E89" s="246" t="s">
        <v>575</v>
      </c>
      <c r="H89" s="3060"/>
      <c r="I89" s="3096"/>
      <c r="J89" s="3101"/>
      <c r="K89" s="262" t="s">
        <v>2458</v>
      </c>
      <c r="L89" s="3060"/>
      <c r="M89" s="3095"/>
      <c r="N89" s="3101"/>
      <c r="O89" s="259" t="s">
        <v>1600</v>
      </c>
      <c r="P89" s="261"/>
      <c r="Q89" s="3015"/>
      <c r="R89" s="3016"/>
      <c r="S89" s="3017"/>
      <c r="Z89" s="1706">
        <v>89</v>
      </c>
    </row>
    <row r="90" spans="2:26" s="144" customFormat="1" ht="11.25" customHeight="1">
      <c r="E90" s="246" t="s">
        <v>1671</v>
      </c>
      <c r="H90" s="997"/>
      <c r="I90" s="261"/>
      <c r="J90" s="261"/>
      <c r="K90" s="676" t="s">
        <v>2061</v>
      </c>
      <c r="L90" s="3102"/>
      <c r="M90" s="3103"/>
      <c r="N90" s="261"/>
      <c r="O90" s="259" t="s">
        <v>1838</v>
      </c>
      <c r="P90" s="261"/>
      <c r="Q90" s="3015"/>
      <c r="R90" s="3016"/>
      <c r="S90" s="3017"/>
      <c r="Z90" s="1706">
        <v>90</v>
      </c>
    </row>
    <row r="91" spans="2:26" s="144" customFormat="1" ht="11.25" customHeight="1">
      <c r="D91" s="260"/>
      <c r="E91" s="246" t="s">
        <v>3461</v>
      </c>
      <c r="H91" s="3088"/>
      <c r="I91" s="3094"/>
      <c r="J91" s="255"/>
      <c r="K91" s="262" t="s">
        <v>1842</v>
      </c>
      <c r="L91" s="3024"/>
      <c r="M91" s="3025"/>
      <c r="N91" s="3022"/>
      <c r="O91" s="3022"/>
      <c r="P91" s="3022"/>
      <c r="Q91" s="3025"/>
      <c r="R91" s="3025"/>
      <c r="S91" s="3091"/>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8"/>
      <c r="I93" s="3092"/>
      <c r="J93" s="3092"/>
      <c r="K93" s="3092"/>
      <c r="L93" s="3092"/>
      <c r="M93" s="3092"/>
      <c r="N93" s="3093"/>
      <c r="O93" s="259" t="s">
        <v>1847</v>
      </c>
      <c r="P93" s="259"/>
      <c r="Q93" s="3018"/>
      <c r="R93" s="3092"/>
      <c r="S93" s="3093"/>
      <c r="Z93" s="1706">
        <v>93</v>
      </c>
    </row>
    <row r="94" spans="2:26" s="144" customFormat="1" ht="11.25" customHeight="1">
      <c r="D94" s="260"/>
      <c r="E94" s="246" t="s">
        <v>957</v>
      </c>
      <c r="F94" s="247"/>
      <c r="H94" s="3060"/>
      <c r="I94" s="3095"/>
      <c r="J94" s="3095"/>
      <c r="K94" s="3096"/>
      <c r="L94" s="3095"/>
      <c r="M94" s="3095"/>
      <c r="N94" s="3097"/>
      <c r="O94" s="259" t="s">
        <v>1624</v>
      </c>
      <c r="P94" s="261"/>
      <c r="Q94" s="3098"/>
      <c r="R94" s="3099"/>
      <c r="S94" s="3100"/>
      <c r="Z94" s="1706">
        <v>94</v>
      </c>
    </row>
    <row r="95" spans="2:26" s="144" customFormat="1" ht="11.25" customHeight="1">
      <c r="D95" s="260"/>
      <c r="E95" s="246" t="s">
        <v>575</v>
      </c>
      <c r="H95" s="3060"/>
      <c r="I95" s="3096"/>
      <c r="J95" s="3101"/>
      <c r="K95" s="262" t="s">
        <v>2458</v>
      </c>
      <c r="L95" s="3060"/>
      <c r="M95" s="3095"/>
      <c r="N95" s="3101"/>
      <c r="O95" s="259" t="s">
        <v>1600</v>
      </c>
      <c r="P95" s="261"/>
      <c r="Q95" s="3015"/>
      <c r="R95" s="3016"/>
      <c r="S95" s="3017"/>
      <c r="Z95" s="1706">
        <v>95</v>
      </c>
    </row>
    <row r="96" spans="2:26" s="144" customFormat="1" ht="11.25" customHeight="1">
      <c r="D96" s="260"/>
      <c r="E96" s="246" t="s">
        <v>1671</v>
      </c>
      <c r="H96" s="997"/>
      <c r="I96" s="261"/>
      <c r="J96" s="261"/>
      <c r="K96" s="676" t="s">
        <v>2061</v>
      </c>
      <c r="L96" s="3102"/>
      <c r="M96" s="3103"/>
      <c r="N96" s="261"/>
      <c r="O96" s="259" t="s">
        <v>1838</v>
      </c>
      <c r="P96" s="261"/>
      <c r="Q96" s="3015"/>
      <c r="R96" s="3016"/>
      <c r="S96" s="3017"/>
      <c r="Z96" s="1706">
        <v>96</v>
      </c>
    </row>
    <row r="97" spans="2:26" s="144" customFormat="1" ht="11.25" customHeight="1">
      <c r="D97" s="260"/>
      <c r="E97" s="246" t="s">
        <v>3461</v>
      </c>
      <c r="H97" s="3088"/>
      <c r="I97" s="3094"/>
      <c r="J97" s="255"/>
      <c r="K97" s="262" t="s">
        <v>1842</v>
      </c>
      <c r="L97" s="3024"/>
      <c r="M97" s="3025"/>
      <c r="N97" s="3022"/>
      <c r="O97" s="3022"/>
      <c r="P97" s="3022"/>
      <c r="Q97" s="3025"/>
      <c r="R97" s="3025"/>
      <c r="S97" s="3091"/>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8"/>
      <c r="I99" s="3092"/>
      <c r="J99" s="3092"/>
      <c r="K99" s="3092"/>
      <c r="L99" s="3092"/>
      <c r="M99" s="3092"/>
      <c r="N99" s="3093"/>
      <c r="O99" s="259" t="s">
        <v>1847</v>
      </c>
      <c r="P99" s="259"/>
      <c r="Q99" s="3018"/>
      <c r="R99" s="3092"/>
      <c r="S99" s="3093"/>
      <c r="Z99" s="1706">
        <v>99</v>
      </c>
    </row>
    <row r="100" spans="2:26" s="144" customFormat="1" ht="11.25" customHeight="1">
      <c r="D100" s="260"/>
      <c r="E100" s="246" t="s">
        <v>957</v>
      </c>
      <c r="F100" s="247"/>
      <c r="H100" s="3060"/>
      <c r="I100" s="3095"/>
      <c r="J100" s="3095"/>
      <c r="K100" s="3096"/>
      <c r="L100" s="3095"/>
      <c r="M100" s="3095"/>
      <c r="N100" s="3097"/>
      <c r="O100" s="259" t="s">
        <v>1624</v>
      </c>
      <c r="P100" s="261"/>
      <c r="Q100" s="3098"/>
      <c r="R100" s="3099"/>
      <c r="S100" s="3100"/>
      <c r="Z100" s="1706">
        <v>100</v>
      </c>
    </row>
    <row r="101" spans="2:26" s="144" customFormat="1" ht="11.25" customHeight="1">
      <c r="D101" s="260"/>
      <c r="E101" s="246" t="s">
        <v>575</v>
      </c>
      <c r="H101" s="3060"/>
      <c r="I101" s="3096"/>
      <c r="J101" s="3101"/>
      <c r="K101" s="262" t="s">
        <v>2458</v>
      </c>
      <c r="L101" s="3060"/>
      <c r="M101" s="3095"/>
      <c r="N101" s="3101"/>
      <c r="O101" s="259" t="s">
        <v>1600</v>
      </c>
      <c r="P101" s="261"/>
      <c r="Q101" s="3015"/>
      <c r="R101" s="3016"/>
      <c r="S101" s="3017"/>
      <c r="Z101" s="1706">
        <v>101</v>
      </c>
    </row>
    <row r="102" spans="2:26" s="144" customFormat="1" ht="11.25" customHeight="1">
      <c r="D102" s="260"/>
      <c r="E102" s="246" t="s">
        <v>1671</v>
      </c>
      <c r="H102" s="997"/>
      <c r="I102" s="261"/>
      <c r="J102" s="261"/>
      <c r="K102" s="676" t="s">
        <v>2061</v>
      </c>
      <c r="L102" s="3102"/>
      <c r="M102" s="3103"/>
      <c r="N102" s="261"/>
      <c r="O102" s="259" t="s">
        <v>1838</v>
      </c>
      <c r="P102" s="261"/>
      <c r="Q102" s="3015"/>
      <c r="R102" s="3016"/>
      <c r="S102" s="3017"/>
      <c r="Z102" s="1706">
        <v>102</v>
      </c>
    </row>
    <row r="103" spans="2:26" ht="11.25" customHeight="1">
      <c r="E103" s="246" t="s">
        <v>3461</v>
      </c>
      <c r="F103" s="144"/>
      <c r="G103" s="144"/>
      <c r="H103" s="3088"/>
      <c r="I103" s="3094"/>
      <c r="J103" s="255"/>
      <c r="K103" s="262" t="s">
        <v>1842</v>
      </c>
      <c r="L103" s="3024"/>
      <c r="M103" s="3025"/>
      <c r="N103" s="3022"/>
      <c r="O103" s="3022"/>
      <c r="P103" s="3022"/>
      <c r="Q103" s="3025"/>
      <c r="R103" s="3025"/>
      <c r="S103" s="3091"/>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8"/>
      <c r="I105" s="3092"/>
      <c r="J105" s="3092"/>
      <c r="K105" s="3092"/>
      <c r="L105" s="3092"/>
      <c r="M105" s="3092"/>
      <c r="N105" s="3093"/>
      <c r="O105" s="259" t="s">
        <v>1847</v>
      </c>
      <c r="P105" s="259"/>
      <c r="Q105" s="3018"/>
      <c r="R105" s="3092"/>
      <c r="S105" s="3093"/>
      <c r="Z105" s="1706">
        <v>105</v>
      </c>
    </row>
    <row r="106" spans="2:26" s="144" customFormat="1" ht="11.25" customHeight="1">
      <c r="D106" s="260"/>
      <c r="E106" s="246" t="s">
        <v>957</v>
      </c>
      <c r="F106" s="247"/>
      <c r="H106" s="3060"/>
      <c r="I106" s="3095"/>
      <c r="J106" s="3095"/>
      <c r="K106" s="3096"/>
      <c r="L106" s="3095"/>
      <c r="M106" s="3095"/>
      <c r="N106" s="3097"/>
      <c r="O106" s="259" t="s">
        <v>1624</v>
      </c>
      <c r="P106" s="261"/>
      <c r="Q106" s="3098"/>
      <c r="R106" s="3099"/>
      <c r="S106" s="3100"/>
      <c r="Z106" s="1706">
        <v>106</v>
      </c>
    </row>
    <row r="107" spans="2:26" s="144" customFormat="1" ht="11.25" customHeight="1">
      <c r="D107" s="260"/>
      <c r="E107" s="246" t="s">
        <v>575</v>
      </c>
      <c r="H107" s="3060"/>
      <c r="I107" s="3096"/>
      <c r="J107" s="3101"/>
      <c r="K107" s="262" t="s">
        <v>2458</v>
      </c>
      <c r="L107" s="3060"/>
      <c r="M107" s="3095"/>
      <c r="N107" s="3101"/>
      <c r="O107" s="259" t="s">
        <v>1600</v>
      </c>
      <c r="P107" s="261"/>
      <c r="Q107" s="3015"/>
      <c r="R107" s="3016"/>
      <c r="S107" s="3017"/>
      <c r="Z107" s="1706">
        <v>107</v>
      </c>
    </row>
    <row r="108" spans="2:26" s="144" customFormat="1" ht="11.25" customHeight="1">
      <c r="D108" s="260"/>
      <c r="E108" s="246" t="s">
        <v>1671</v>
      </c>
      <c r="H108" s="997"/>
      <c r="I108" s="261"/>
      <c r="J108" s="261"/>
      <c r="K108" s="676" t="s">
        <v>2061</v>
      </c>
      <c r="L108" s="3102"/>
      <c r="M108" s="3103"/>
      <c r="N108" s="261"/>
      <c r="O108" s="259" t="s">
        <v>1838</v>
      </c>
      <c r="P108" s="261"/>
      <c r="Q108" s="3015"/>
      <c r="R108" s="3016"/>
      <c r="S108" s="3017"/>
      <c r="Z108" s="1706">
        <v>108</v>
      </c>
    </row>
    <row r="109" spans="2:26" ht="11.25" customHeight="1">
      <c r="E109" s="246" t="s">
        <v>3461</v>
      </c>
      <c r="F109" s="144"/>
      <c r="G109" s="144"/>
      <c r="H109" s="3088"/>
      <c r="I109" s="3094"/>
      <c r="J109" s="255"/>
      <c r="K109" s="262" t="s">
        <v>1842</v>
      </c>
      <c r="L109" s="3024"/>
      <c r="M109" s="3025"/>
      <c r="N109" s="3022"/>
      <c r="O109" s="3022"/>
      <c r="P109" s="3022"/>
      <c r="Q109" s="3025"/>
      <c r="R109" s="3025"/>
      <c r="S109" s="3091"/>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8"/>
      <c r="I111" s="3092"/>
      <c r="J111" s="3092"/>
      <c r="K111" s="3092"/>
      <c r="L111" s="3092"/>
      <c r="M111" s="3092"/>
      <c r="N111" s="3093"/>
      <c r="O111" s="259" t="s">
        <v>1847</v>
      </c>
      <c r="P111" s="259"/>
      <c r="Q111" s="3018"/>
      <c r="R111" s="3092"/>
      <c r="S111" s="3093"/>
      <c r="Z111" s="1706">
        <v>111</v>
      </c>
    </row>
    <row r="112" spans="2:26" s="144" customFormat="1" ht="11.25" customHeight="1">
      <c r="D112" s="260"/>
      <c r="E112" s="246" t="s">
        <v>957</v>
      </c>
      <c r="F112" s="247"/>
      <c r="H112" s="3060"/>
      <c r="I112" s="3095"/>
      <c r="J112" s="3095"/>
      <c r="K112" s="3096"/>
      <c r="L112" s="3095"/>
      <c r="M112" s="3095"/>
      <c r="N112" s="3097"/>
      <c r="O112" s="259" t="s">
        <v>1624</v>
      </c>
      <c r="P112" s="261"/>
      <c r="Q112" s="3098"/>
      <c r="R112" s="3099"/>
      <c r="S112" s="3100"/>
      <c r="Z112" s="1706">
        <v>112</v>
      </c>
    </row>
    <row r="113" spans="1:26" s="144" customFormat="1" ht="11.25" customHeight="1">
      <c r="D113" s="260"/>
      <c r="E113" s="246" t="s">
        <v>575</v>
      </c>
      <c r="H113" s="3060"/>
      <c r="I113" s="3096"/>
      <c r="J113" s="3101"/>
      <c r="K113" s="262" t="s">
        <v>2458</v>
      </c>
      <c r="L113" s="3060"/>
      <c r="M113" s="3095"/>
      <c r="N113" s="3101"/>
      <c r="O113" s="259" t="s">
        <v>1600</v>
      </c>
      <c r="P113" s="261"/>
      <c r="Q113" s="3015"/>
      <c r="R113" s="3016"/>
      <c r="S113" s="3017"/>
      <c r="Z113" s="1706">
        <v>113</v>
      </c>
    </row>
    <row r="114" spans="1:26" s="144" customFormat="1" ht="11.25" customHeight="1">
      <c r="D114" s="260"/>
      <c r="E114" s="246" t="s">
        <v>1671</v>
      </c>
      <c r="H114" s="997"/>
      <c r="I114" s="261"/>
      <c r="J114" s="261"/>
      <c r="K114" s="676" t="s">
        <v>2061</v>
      </c>
      <c r="L114" s="3102"/>
      <c r="M114" s="3103"/>
      <c r="N114" s="261"/>
      <c r="O114" s="259" t="s">
        <v>1838</v>
      </c>
      <c r="P114" s="261"/>
      <c r="Q114" s="3015"/>
      <c r="R114" s="3016"/>
      <c r="S114" s="3017"/>
      <c r="Z114" s="1706">
        <v>114</v>
      </c>
    </row>
    <row r="115" spans="1:26" s="144" customFormat="1" ht="11.25" customHeight="1">
      <c r="D115" s="260"/>
      <c r="E115" s="246" t="s">
        <v>3461</v>
      </c>
      <c r="H115" s="3088"/>
      <c r="I115" s="3094"/>
      <c r="J115" s="255"/>
      <c r="K115" s="262" t="s">
        <v>1842</v>
      </c>
      <c r="L115" s="3024"/>
      <c r="M115" s="3025"/>
      <c r="N115" s="3022"/>
      <c r="O115" s="3022"/>
      <c r="P115" s="3022"/>
      <c r="Q115" s="3025"/>
      <c r="R115" s="3025"/>
      <c r="S115" s="3091"/>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8"/>
      <c r="I120" s="3019"/>
      <c r="J120" s="3020"/>
      <c r="K120" s="262" t="s">
        <v>1670</v>
      </c>
      <c r="L120" s="3018"/>
      <c r="M120" s="3092"/>
      <c r="N120" s="3093"/>
      <c r="O120" s="259" t="s">
        <v>3140</v>
      </c>
      <c r="P120" s="261"/>
      <c r="Q120" s="3111"/>
      <c r="R120" s="3112"/>
      <c r="S120" s="3113"/>
      <c r="Z120" s="1706">
        <v>120</v>
      </c>
    </row>
    <row r="121" spans="1:26" s="144" customFormat="1" ht="11.25" customHeight="1">
      <c r="C121" s="243"/>
      <c r="D121" s="260"/>
      <c r="E121" s="246" t="s">
        <v>6222</v>
      </c>
      <c r="F121" s="247"/>
      <c r="H121" s="3114"/>
      <c r="I121" s="3115"/>
      <c r="J121" s="3116"/>
      <c r="K121" s="3117"/>
      <c r="L121" s="3115"/>
      <c r="M121" s="3115"/>
      <c r="N121" s="3118"/>
      <c r="O121" s="259" t="s">
        <v>575</v>
      </c>
      <c r="P121" s="261"/>
      <c r="Q121" s="3119"/>
      <c r="R121" s="3120"/>
      <c r="S121" s="3121"/>
      <c r="Z121" s="1706">
        <v>121</v>
      </c>
    </row>
    <row r="122" spans="1:26" s="144" customFormat="1" ht="11.25" customHeight="1">
      <c r="C122" s="243"/>
      <c r="D122" s="260"/>
      <c r="E122" s="246" t="s">
        <v>1671</v>
      </c>
      <c r="H122" s="1261"/>
      <c r="I122" s="676" t="s">
        <v>2061</v>
      </c>
      <c r="J122" s="3122"/>
      <c r="K122" s="3101"/>
      <c r="L122" s="262" t="s">
        <v>1842</v>
      </c>
      <c r="M122" s="3090"/>
      <c r="N122" s="3022"/>
      <c r="O122" s="3022"/>
      <c r="P122" s="3022"/>
      <c r="Q122" s="3025"/>
      <c r="R122" s="3025"/>
      <c r="S122" s="3091"/>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8"/>
      <c r="I124" s="3019"/>
      <c r="J124" s="3020"/>
      <c r="K124" s="262" t="s">
        <v>1670</v>
      </c>
      <c r="L124" s="3018"/>
      <c r="M124" s="3092"/>
      <c r="N124" s="3093"/>
      <c r="O124" s="259" t="s">
        <v>3140</v>
      </c>
      <c r="P124" s="261"/>
      <c r="Q124" s="3111"/>
      <c r="R124" s="3112"/>
      <c r="S124" s="3113"/>
      <c r="Z124" s="1706">
        <v>124</v>
      </c>
    </row>
    <row r="125" spans="1:26" s="144" customFormat="1" ht="11.25" hidden="1" customHeight="1">
      <c r="C125" s="243"/>
      <c r="D125" s="260"/>
      <c r="E125" s="246" t="s">
        <v>6222</v>
      </c>
      <c r="F125" s="247"/>
      <c r="H125" s="3114"/>
      <c r="I125" s="3115"/>
      <c r="J125" s="3116"/>
      <c r="K125" s="3117"/>
      <c r="L125" s="3115"/>
      <c r="M125" s="3115"/>
      <c r="N125" s="3118"/>
      <c r="O125" s="259" t="s">
        <v>575</v>
      </c>
      <c r="P125" s="261"/>
      <c r="Q125" s="3119"/>
      <c r="R125" s="3120"/>
      <c r="S125" s="3121"/>
      <c r="Z125" s="1706">
        <v>125</v>
      </c>
    </row>
    <row r="126" spans="1:26" s="144" customFormat="1" ht="11.25" hidden="1" customHeight="1">
      <c r="C126" s="243"/>
      <c r="D126" s="260"/>
      <c r="E126" s="246" t="s">
        <v>1671</v>
      </c>
      <c r="H126" s="1261"/>
      <c r="I126" s="676" t="s">
        <v>2061</v>
      </c>
      <c r="J126" s="3122"/>
      <c r="K126" s="3101"/>
      <c r="L126" s="262" t="s">
        <v>1842</v>
      </c>
      <c r="M126" s="3090"/>
      <c r="N126" s="3022"/>
      <c r="O126" s="3022"/>
      <c r="P126" s="3022"/>
      <c r="Q126" s="3025"/>
      <c r="R126" s="3025"/>
      <c r="S126" s="3091"/>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8"/>
      <c r="I128" s="3019"/>
      <c r="J128" s="3020"/>
      <c r="K128" s="262" t="s">
        <v>1670</v>
      </c>
      <c r="L128" s="3018"/>
      <c r="M128" s="3092"/>
      <c r="N128" s="3093"/>
      <c r="O128" s="259" t="s">
        <v>3140</v>
      </c>
      <c r="P128" s="261"/>
      <c r="Q128" s="3111"/>
      <c r="R128" s="3112"/>
      <c r="S128" s="3113"/>
      <c r="Z128" s="1706">
        <v>128</v>
      </c>
    </row>
    <row r="129" spans="3:26" s="144" customFormat="1" ht="11.25" hidden="1" customHeight="1">
      <c r="C129" s="243"/>
      <c r="D129" s="260"/>
      <c r="E129" s="246" t="s">
        <v>6222</v>
      </c>
      <c r="F129" s="247"/>
      <c r="H129" s="3114"/>
      <c r="I129" s="3115"/>
      <c r="J129" s="3116"/>
      <c r="K129" s="3117"/>
      <c r="L129" s="3115"/>
      <c r="M129" s="3115"/>
      <c r="N129" s="3118"/>
      <c r="O129" s="259" t="s">
        <v>575</v>
      </c>
      <c r="P129" s="261"/>
      <c r="Q129" s="3119"/>
      <c r="R129" s="3120"/>
      <c r="S129" s="3121"/>
      <c r="Z129" s="1706">
        <v>129</v>
      </c>
    </row>
    <row r="130" spans="3:26" s="144" customFormat="1" ht="11.25" hidden="1" customHeight="1">
      <c r="C130" s="243"/>
      <c r="D130" s="260"/>
      <c r="E130" s="246" t="s">
        <v>1671</v>
      </c>
      <c r="H130" s="1261"/>
      <c r="I130" s="676" t="s">
        <v>2061</v>
      </c>
      <c r="J130" s="3122"/>
      <c r="K130" s="3101"/>
      <c r="L130" s="262" t="s">
        <v>1842</v>
      </c>
      <c r="M130" s="3090"/>
      <c r="N130" s="3022"/>
      <c r="O130" s="3022"/>
      <c r="P130" s="3022"/>
      <c r="Q130" s="3025"/>
      <c r="R130" s="3025"/>
      <c r="S130" s="3091"/>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8"/>
      <c r="I132" s="3019"/>
      <c r="J132" s="3020"/>
      <c r="K132" s="262" t="s">
        <v>1670</v>
      </c>
      <c r="L132" s="3018"/>
      <c r="M132" s="3092"/>
      <c r="N132" s="3093"/>
      <c r="O132" s="259" t="s">
        <v>3140</v>
      </c>
      <c r="P132" s="261"/>
      <c r="Q132" s="3111"/>
      <c r="R132" s="3112"/>
      <c r="S132" s="3113"/>
      <c r="Z132" s="1706">
        <v>132</v>
      </c>
    </row>
    <row r="133" spans="3:26" s="144" customFormat="1" ht="11.25" hidden="1" customHeight="1">
      <c r="C133" s="243"/>
      <c r="D133" s="260"/>
      <c r="E133" s="246" t="s">
        <v>6222</v>
      </c>
      <c r="F133" s="247"/>
      <c r="H133" s="3114"/>
      <c r="I133" s="3115"/>
      <c r="J133" s="3116"/>
      <c r="K133" s="3117"/>
      <c r="L133" s="3115"/>
      <c r="M133" s="3115"/>
      <c r="N133" s="3118"/>
      <c r="O133" s="259" t="s">
        <v>575</v>
      </c>
      <c r="P133" s="261"/>
      <c r="Q133" s="3119"/>
      <c r="R133" s="3120"/>
      <c r="S133" s="3121"/>
      <c r="Z133" s="1706">
        <v>133</v>
      </c>
    </row>
    <row r="134" spans="3:26" s="144" customFormat="1" ht="11.25" hidden="1" customHeight="1">
      <c r="C134" s="243"/>
      <c r="D134" s="260"/>
      <c r="E134" s="246" t="s">
        <v>1671</v>
      </c>
      <c r="H134" s="1261"/>
      <c r="I134" s="676" t="s">
        <v>2061</v>
      </c>
      <c r="J134" s="3122"/>
      <c r="K134" s="3101"/>
      <c r="L134" s="262" t="s">
        <v>1842</v>
      </c>
      <c r="M134" s="3090"/>
      <c r="N134" s="3022"/>
      <c r="O134" s="3022"/>
      <c r="P134" s="3022"/>
      <c r="Q134" s="3025"/>
      <c r="R134" s="3025"/>
      <c r="S134" s="3091"/>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8"/>
      <c r="I136" s="3019"/>
      <c r="J136" s="3020"/>
      <c r="K136" s="262" t="s">
        <v>1670</v>
      </c>
      <c r="L136" s="3018"/>
      <c r="M136" s="3092"/>
      <c r="N136" s="3093"/>
      <c r="O136" s="259" t="s">
        <v>3140</v>
      </c>
      <c r="P136" s="261"/>
      <c r="Q136" s="3111"/>
      <c r="R136" s="3112"/>
      <c r="S136" s="3113"/>
      <c r="Z136" s="1706">
        <v>136</v>
      </c>
    </row>
    <row r="137" spans="3:26" s="144" customFormat="1" ht="11.25" hidden="1" customHeight="1">
      <c r="C137" s="243"/>
      <c r="D137" s="260"/>
      <c r="E137" s="246" t="s">
        <v>6222</v>
      </c>
      <c r="F137" s="247"/>
      <c r="H137" s="3114"/>
      <c r="I137" s="3115"/>
      <c r="J137" s="3116"/>
      <c r="K137" s="3117"/>
      <c r="L137" s="3115"/>
      <c r="M137" s="3115"/>
      <c r="N137" s="3118"/>
      <c r="O137" s="259" t="s">
        <v>575</v>
      </c>
      <c r="P137" s="261"/>
      <c r="Q137" s="3119"/>
      <c r="R137" s="3120"/>
      <c r="S137" s="3121"/>
      <c r="Z137" s="1706">
        <v>137</v>
      </c>
    </row>
    <row r="138" spans="3:26" s="144" customFormat="1" ht="11.25" hidden="1" customHeight="1">
      <c r="C138" s="243"/>
      <c r="D138" s="260"/>
      <c r="E138" s="246" t="s">
        <v>1671</v>
      </c>
      <c r="H138" s="1261"/>
      <c r="I138" s="676" t="s">
        <v>2061</v>
      </c>
      <c r="J138" s="3122"/>
      <c r="K138" s="3101"/>
      <c r="L138" s="262" t="s">
        <v>1842</v>
      </c>
      <c r="M138" s="3090"/>
      <c r="N138" s="3022"/>
      <c r="O138" s="3022"/>
      <c r="P138" s="3022"/>
      <c r="Q138" s="3025"/>
      <c r="R138" s="3025"/>
      <c r="S138" s="3091"/>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8"/>
      <c r="I140" s="3019"/>
      <c r="J140" s="3020"/>
      <c r="K140" s="262" t="s">
        <v>1670</v>
      </c>
      <c r="L140" s="3018"/>
      <c r="M140" s="3092"/>
      <c r="N140" s="3093"/>
      <c r="O140" s="259" t="s">
        <v>3140</v>
      </c>
      <c r="P140" s="261"/>
      <c r="Q140" s="3111"/>
      <c r="R140" s="3112"/>
      <c r="S140" s="3113"/>
      <c r="Z140" s="1706">
        <v>140</v>
      </c>
    </row>
    <row r="141" spans="3:26" s="144" customFormat="1" ht="11.25" hidden="1" customHeight="1">
      <c r="C141" s="243"/>
      <c r="D141" s="260"/>
      <c r="E141" s="246" t="s">
        <v>6222</v>
      </c>
      <c r="F141" s="247"/>
      <c r="H141" s="3114"/>
      <c r="I141" s="3115"/>
      <c r="J141" s="3116"/>
      <c r="K141" s="3117"/>
      <c r="L141" s="3115"/>
      <c r="M141" s="3115"/>
      <c r="N141" s="3118"/>
      <c r="O141" s="259" t="s">
        <v>575</v>
      </c>
      <c r="P141" s="261"/>
      <c r="Q141" s="3119"/>
      <c r="R141" s="3120"/>
      <c r="S141" s="3121"/>
      <c r="Z141" s="1706">
        <v>141</v>
      </c>
    </row>
    <row r="142" spans="3:26" s="144" customFormat="1" ht="11.25" hidden="1" customHeight="1">
      <c r="C142" s="243"/>
      <c r="D142" s="260"/>
      <c r="E142" s="246" t="s">
        <v>1671</v>
      </c>
      <c r="H142" s="1261"/>
      <c r="I142" s="676" t="s">
        <v>2061</v>
      </c>
      <c r="J142" s="3122"/>
      <c r="K142" s="3101"/>
      <c r="L142" s="262" t="s">
        <v>1842</v>
      </c>
      <c r="M142" s="3090"/>
      <c r="N142" s="3022"/>
      <c r="O142" s="3022"/>
      <c r="P142" s="3022"/>
      <c r="Q142" s="3025"/>
      <c r="R142" s="3025"/>
      <c r="S142" s="3091"/>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8"/>
      <c r="I144" s="3019"/>
      <c r="J144" s="3020"/>
      <c r="K144" s="262" t="s">
        <v>1670</v>
      </c>
      <c r="L144" s="3018"/>
      <c r="M144" s="3092"/>
      <c r="N144" s="3093"/>
      <c r="O144" s="259" t="s">
        <v>3140</v>
      </c>
      <c r="P144" s="261"/>
      <c r="Q144" s="3111"/>
      <c r="R144" s="3112"/>
      <c r="S144" s="3113"/>
      <c r="Z144" s="1706">
        <v>144</v>
      </c>
    </row>
    <row r="145" spans="1:26" s="144" customFormat="1" ht="11.25" customHeight="1">
      <c r="C145" s="243"/>
      <c r="D145" s="260"/>
      <c r="E145" s="246" t="s">
        <v>6222</v>
      </c>
      <c r="F145" s="247"/>
      <c r="H145" s="3114"/>
      <c r="I145" s="3115"/>
      <c r="J145" s="3116"/>
      <c r="K145" s="3117"/>
      <c r="L145" s="3115"/>
      <c r="M145" s="3115"/>
      <c r="N145" s="3118"/>
      <c r="O145" s="259" t="s">
        <v>575</v>
      </c>
      <c r="P145" s="261"/>
      <c r="Q145" s="3119"/>
      <c r="R145" s="3120"/>
      <c r="S145" s="3121"/>
      <c r="Z145" s="1706">
        <v>145</v>
      </c>
    </row>
    <row r="146" spans="1:26" s="144" customFormat="1" ht="11.25" customHeight="1">
      <c r="C146" s="243"/>
      <c r="D146" s="260"/>
      <c r="E146" s="246" t="s">
        <v>1671</v>
      </c>
      <c r="H146" s="1261"/>
      <c r="I146" s="676" t="s">
        <v>2061</v>
      </c>
      <c r="J146" s="3122"/>
      <c r="K146" s="3101"/>
      <c r="L146" s="262" t="s">
        <v>1842</v>
      </c>
      <c r="M146" s="3090"/>
      <c r="N146" s="3022"/>
      <c r="O146" s="3022"/>
      <c r="P146" s="3022"/>
      <c r="Q146" s="3025"/>
      <c r="R146" s="3025"/>
      <c r="S146" s="3091"/>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8"/>
      <c r="I148" s="3019"/>
      <c r="J148" s="3020"/>
      <c r="K148" s="262" t="s">
        <v>1670</v>
      </c>
      <c r="L148" s="3018"/>
      <c r="M148" s="3092"/>
      <c r="N148" s="3093"/>
      <c r="O148" s="259" t="s">
        <v>3140</v>
      </c>
      <c r="P148" s="261"/>
      <c r="Q148" s="3111"/>
      <c r="R148" s="3112"/>
      <c r="S148" s="3113"/>
      <c r="Z148" s="1706">
        <v>148</v>
      </c>
    </row>
    <row r="149" spans="1:26" s="144" customFormat="1" ht="11.25" customHeight="1">
      <c r="D149" s="260"/>
      <c r="E149" s="246" t="s">
        <v>6222</v>
      </c>
      <c r="F149" s="247"/>
      <c r="H149" s="3114"/>
      <c r="I149" s="3115"/>
      <c r="J149" s="3116"/>
      <c r="K149" s="3117"/>
      <c r="L149" s="3115"/>
      <c r="M149" s="3115"/>
      <c r="N149" s="3118"/>
      <c r="O149" s="259" t="s">
        <v>575</v>
      </c>
      <c r="P149" s="261"/>
      <c r="Q149" s="3119"/>
      <c r="R149" s="3120"/>
      <c r="S149" s="3121"/>
      <c r="Z149" s="1706">
        <v>149</v>
      </c>
    </row>
    <row r="150" spans="1:26" s="144" customFormat="1" ht="11.25" customHeight="1">
      <c r="D150" s="260"/>
      <c r="E150" s="246" t="s">
        <v>1671</v>
      </c>
      <c r="H150" s="1261"/>
      <c r="I150" s="676" t="s">
        <v>2061</v>
      </c>
      <c r="J150" s="3122"/>
      <c r="K150" s="3101"/>
      <c r="L150" s="262" t="s">
        <v>1842</v>
      </c>
      <c r="M150" s="3090"/>
      <c r="N150" s="3022"/>
      <c r="O150" s="3022"/>
      <c r="P150" s="3022"/>
      <c r="Q150" s="3025"/>
      <c r="R150" s="3025"/>
      <c r="S150" s="3091"/>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2" t="s">
        <v>3296</v>
      </c>
      <c r="B153" s="3182"/>
      <c r="C153" s="3182"/>
      <c r="D153" s="3182"/>
      <c r="E153" s="3182"/>
      <c r="H153" s="1263" t="s">
        <v>2308</v>
      </c>
      <c r="I153" s="3176" t="s">
        <v>6516</v>
      </c>
      <c r="J153" s="3177"/>
      <c r="K153" s="3177"/>
      <c r="L153" s="3177"/>
      <c r="M153" s="3177"/>
      <c r="N153" s="3177"/>
      <c r="O153" s="3177"/>
      <c r="P153" s="3177"/>
      <c r="Q153" s="3177"/>
      <c r="R153" s="3177"/>
      <c r="S153" s="3178"/>
      <c r="Z153" s="1706">
        <v>153</v>
      </c>
    </row>
    <row r="154" spans="1:26" s="144" customFormat="1" ht="15" customHeight="1" thickBot="1">
      <c r="B154" s="476" t="s">
        <v>1844</v>
      </c>
      <c r="C154" s="256" t="s">
        <v>2520</v>
      </c>
      <c r="E154" s="256"/>
      <c r="H154" s="1216" t="s">
        <v>3838</v>
      </c>
      <c r="I154" s="3081"/>
      <c r="J154" s="3082"/>
      <c r="K154" s="3082"/>
      <c r="L154" s="3082"/>
      <c r="M154" s="3082"/>
      <c r="N154" s="3082"/>
      <c r="O154" s="3082"/>
      <c r="P154" s="3082"/>
      <c r="Q154" s="3082"/>
      <c r="R154" s="3082"/>
      <c r="S154" s="3083"/>
      <c r="U154" s="3012" t="s">
        <v>1883</v>
      </c>
      <c r="V154" s="3012"/>
      <c r="Z154" s="1706">
        <v>154</v>
      </c>
    </row>
    <row r="155" spans="1:26" s="144" customFormat="1" ht="15" customHeight="1" thickBot="1">
      <c r="B155" s="476" t="s">
        <v>1846</v>
      </c>
      <c r="C155" s="256" t="s">
        <v>6220</v>
      </c>
      <c r="E155" s="256"/>
      <c r="H155" s="1216" t="s">
        <v>3838</v>
      </c>
      <c r="I155" s="3078"/>
      <c r="J155" s="3079"/>
      <c r="K155" s="3079"/>
      <c r="L155" s="3079"/>
      <c r="M155" s="3079"/>
      <c r="N155" s="3079"/>
      <c r="O155" s="3079"/>
      <c r="P155" s="3079"/>
      <c r="Q155" s="3079"/>
      <c r="R155" s="3079"/>
      <c r="S155" s="3080"/>
      <c r="U155" s="3012"/>
      <c r="V155" s="3012"/>
      <c r="Z155" s="1706">
        <v>155</v>
      </c>
    </row>
    <row r="156" spans="1:26" s="144" customFormat="1" ht="15" customHeight="1" thickBot="1">
      <c r="B156" s="476" t="s">
        <v>2332</v>
      </c>
      <c r="C156" s="256" t="s">
        <v>2556</v>
      </c>
      <c r="E156" s="256"/>
      <c r="H156" s="1216" t="s">
        <v>3838</v>
      </c>
      <c r="I156" s="3078"/>
      <c r="J156" s="3079"/>
      <c r="K156" s="3079"/>
      <c r="L156" s="3079"/>
      <c r="M156" s="3079"/>
      <c r="N156" s="3079"/>
      <c r="O156" s="3079"/>
      <c r="P156" s="3079"/>
      <c r="Q156" s="3079"/>
      <c r="R156" s="3079"/>
      <c r="S156" s="3080"/>
      <c r="U156" s="3012"/>
      <c r="V156" s="3012"/>
      <c r="Z156" s="1706">
        <v>156</v>
      </c>
    </row>
    <row r="157" spans="1:26" s="144" customFormat="1" ht="15" customHeight="1" thickBot="1">
      <c r="B157" s="476" t="s">
        <v>1150</v>
      </c>
      <c r="C157" s="256" t="s">
        <v>2521</v>
      </c>
      <c r="E157" s="256"/>
      <c r="H157" s="1216" t="s">
        <v>3838</v>
      </c>
      <c r="I157" s="3078"/>
      <c r="J157" s="3079"/>
      <c r="K157" s="3079"/>
      <c r="L157" s="3079"/>
      <c r="M157" s="3079"/>
      <c r="N157" s="3079"/>
      <c r="O157" s="3079"/>
      <c r="P157" s="3079"/>
      <c r="Q157" s="3079"/>
      <c r="R157" s="3079"/>
      <c r="S157" s="3080"/>
      <c r="U157" s="3012"/>
      <c r="V157" s="3012"/>
      <c r="Z157" s="1706">
        <v>157</v>
      </c>
    </row>
    <row r="158" spans="1:26" s="144" customFormat="1" ht="15" customHeight="1" thickBot="1">
      <c r="B158" s="476" t="s">
        <v>1151</v>
      </c>
      <c r="C158" s="256" t="s">
        <v>3074</v>
      </c>
      <c r="E158" s="256"/>
      <c r="H158" s="1216" t="s">
        <v>3838</v>
      </c>
      <c r="I158" s="3078"/>
      <c r="J158" s="3079"/>
      <c r="K158" s="3079"/>
      <c r="L158" s="3079"/>
      <c r="M158" s="3079"/>
      <c r="N158" s="3079"/>
      <c r="O158" s="3079"/>
      <c r="P158" s="3079"/>
      <c r="Q158" s="3079"/>
      <c r="R158" s="3079"/>
      <c r="S158" s="3080"/>
      <c r="U158" s="3012"/>
      <c r="V158" s="3012"/>
      <c r="Z158" s="1706">
        <v>158</v>
      </c>
    </row>
    <row r="159" spans="1:26" s="144" customFormat="1" ht="15" customHeight="1" thickBot="1">
      <c r="B159" s="476" t="s">
        <v>1742</v>
      </c>
      <c r="C159" s="256" t="s">
        <v>3075</v>
      </c>
      <c r="E159" s="256"/>
      <c r="H159" s="1216" t="s">
        <v>3838</v>
      </c>
      <c r="I159" s="3078"/>
      <c r="J159" s="3079"/>
      <c r="K159" s="3079"/>
      <c r="L159" s="3079"/>
      <c r="M159" s="3079"/>
      <c r="N159" s="3079"/>
      <c r="O159" s="3079"/>
      <c r="P159" s="3079"/>
      <c r="Q159" s="3079"/>
      <c r="R159" s="3079"/>
      <c r="S159" s="3080"/>
      <c r="U159" s="3012"/>
      <c r="V159" s="3012"/>
      <c r="Z159" s="1706">
        <v>159</v>
      </c>
    </row>
    <row r="160" spans="1:26" s="144" customFormat="1" ht="15" customHeight="1" thickBot="1">
      <c r="B160" s="476" t="s">
        <v>473</v>
      </c>
      <c r="C160" s="256" t="s">
        <v>2522</v>
      </c>
      <c r="E160" s="256"/>
      <c r="H160" s="1216" t="s">
        <v>3838</v>
      </c>
      <c r="I160" s="3078"/>
      <c r="J160" s="3079"/>
      <c r="K160" s="3079"/>
      <c r="L160" s="3079"/>
      <c r="M160" s="3079"/>
      <c r="N160" s="3079"/>
      <c r="O160" s="3079"/>
      <c r="P160" s="3079"/>
      <c r="Q160" s="3079"/>
      <c r="R160" s="3079"/>
      <c r="S160" s="3080"/>
      <c r="Z160" s="1706">
        <v>160</v>
      </c>
    </row>
    <row r="161" spans="1:26" s="144" customFormat="1" ht="15" customHeight="1" thickBot="1">
      <c r="B161" s="476" t="s">
        <v>474</v>
      </c>
      <c r="C161" s="256" t="s">
        <v>3889</v>
      </c>
      <c r="E161" s="256"/>
      <c r="H161" s="1216" t="s">
        <v>3838</v>
      </c>
      <c r="I161" s="3078"/>
      <c r="J161" s="3079"/>
      <c r="K161" s="3079"/>
      <c r="L161" s="3079"/>
      <c r="M161" s="3079"/>
      <c r="N161" s="3079"/>
      <c r="O161" s="3079"/>
      <c r="P161" s="3079"/>
      <c r="Q161" s="3079"/>
      <c r="R161" s="3079"/>
      <c r="S161" s="3080"/>
      <c r="Z161" s="1706">
        <v>161</v>
      </c>
    </row>
    <row r="162" spans="1:26" s="144" customFormat="1" ht="15" customHeight="1" thickBot="1">
      <c r="B162" s="476" t="s">
        <v>3888</v>
      </c>
      <c r="C162" s="3179" t="s">
        <v>6473</v>
      </c>
      <c r="D162" s="3180"/>
      <c r="E162" s="3180"/>
      <c r="F162" s="3180"/>
      <c r="G162" s="3181"/>
      <c r="H162" s="1216" t="s">
        <v>3838</v>
      </c>
      <c r="I162" s="3075"/>
      <c r="J162" s="3076"/>
      <c r="K162" s="3076"/>
      <c r="L162" s="3076"/>
      <c r="M162" s="3076"/>
      <c r="N162" s="3076"/>
      <c r="O162" s="3076"/>
      <c r="P162" s="3076"/>
      <c r="Q162" s="3076"/>
      <c r="R162" s="3076"/>
      <c r="S162" s="3077"/>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4" t="s">
        <v>594</v>
      </c>
      <c r="B166" s="3145"/>
      <c r="C166" s="3145"/>
      <c r="D166" s="3145"/>
      <c r="E166" s="3150" t="s">
        <v>3063</v>
      </c>
      <c r="F166" s="3151"/>
      <c r="G166" s="3151"/>
      <c r="H166" s="3151"/>
      <c r="I166" s="3152"/>
      <c r="J166" s="3156" t="s">
        <v>3064</v>
      </c>
      <c r="K166" s="3159" t="s">
        <v>2578</v>
      </c>
      <c r="L166" s="3159" t="s">
        <v>2579</v>
      </c>
      <c r="M166" s="3162" t="s">
        <v>6474</v>
      </c>
      <c r="N166" s="3163"/>
      <c r="O166" s="3163"/>
      <c r="P166" s="3163"/>
      <c r="Q166" s="3163"/>
      <c r="R166" s="3163"/>
      <c r="S166" s="3164"/>
      <c r="Z166" s="1706">
        <v>166</v>
      </c>
    </row>
    <row r="167" spans="1:26" s="144" customFormat="1" ht="12.75" customHeight="1">
      <c r="A167" s="3146"/>
      <c r="B167" s="3147"/>
      <c r="C167" s="3147"/>
      <c r="D167" s="3147"/>
      <c r="E167" s="3153"/>
      <c r="F167" s="3154"/>
      <c r="G167" s="3154"/>
      <c r="H167" s="3154"/>
      <c r="I167" s="3155"/>
      <c r="J167" s="3157"/>
      <c r="K167" s="3160"/>
      <c r="L167" s="3160"/>
      <c r="M167" s="3165"/>
      <c r="N167" s="3166"/>
      <c r="O167" s="3166"/>
      <c r="P167" s="3166"/>
      <c r="Q167" s="3166"/>
      <c r="R167" s="3166"/>
      <c r="S167" s="3167"/>
      <c r="Z167" s="1706">
        <v>167</v>
      </c>
    </row>
    <row r="168" spans="1:26" s="144" customFormat="1" ht="12.75" customHeight="1">
      <c r="A168" s="3146"/>
      <c r="B168" s="3147"/>
      <c r="C168" s="3147"/>
      <c r="D168" s="3147"/>
      <c r="E168" s="3153"/>
      <c r="F168" s="3154"/>
      <c r="G168" s="3154"/>
      <c r="H168" s="3154"/>
      <c r="I168" s="3155"/>
      <c r="J168" s="3157"/>
      <c r="K168" s="3160"/>
      <c r="L168" s="3160"/>
      <c r="M168" s="3165"/>
      <c r="N168" s="3166"/>
      <c r="O168" s="3166"/>
      <c r="P168" s="3166"/>
      <c r="Q168" s="3166"/>
      <c r="R168" s="3166"/>
      <c r="S168" s="3167"/>
      <c r="Z168" s="1706">
        <v>168</v>
      </c>
    </row>
    <row r="169" spans="1:26" s="144" customFormat="1" ht="12.75" customHeight="1">
      <c r="A169" s="3146"/>
      <c r="B169" s="3147"/>
      <c r="C169" s="3147"/>
      <c r="D169" s="3147"/>
      <c r="E169" s="3168" t="s">
        <v>3217</v>
      </c>
      <c r="F169" s="3169"/>
      <c r="G169" s="3169"/>
      <c r="H169" s="3170"/>
      <c r="I169" s="481"/>
      <c r="J169" s="3157"/>
      <c r="K169" s="3160"/>
      <c r="L169" s="3160"/>
      <c r="M169" s="3165"/>
      <c r="N169" s="3166"/>
      <c r="O169" s="3166"/>
      <c r="P169" s="3166"/>
      <c r="Q169" s="3166"/>
      <c r="R169" s="3166"/>
      <c r="S169" s="3167"/>
      <c r="Z169" s="1706">
        <v>169</v>
      </c>
    </row>
    <row r="170" spans="1:26" s="144" customFormat="1" ht="13.5" customHeight="1">
      <c r="A170" s="3148"/>
      <c r="B170" s="3149"/>
      <c r="C170" s="3149"/>
      <c r="D170" s="3149"/>
      <c r="E170" s="3171"/>
      <c r="F170" s="3172"/>
      <c r="G170" s="3172"/>
      <c r="H170" s="3173"/>
      <c r="I170" s="1217" t="s">
        <v>2308</v>
      </c>
      <c r="J170" s="3158"/>
      <c r="K170" s="3161"/>
      <c r="L170" s="3160"/>
      <c r="M170" s="1218" t="s">
        <v>2308</v>
      </c>
      <c r="N170" s="3174" t="s">
        <v>2577</v>
      </c>
      <c r="O170" s="3174"/>
      <c r="P170" s="3174"/>
      <c r="Q170" s="3174"/>
      <c r="R170" s="3174"/>
      <c r="S170" s="3175"/>
      <c r="Z170" s="1706">
        <v>170</v>
      </c>
    </row>
    <row r="171" spans="1:26" s="144" customFormat="1" ht="23.25" customHeight="1">
      <c r="A171" s="3139" t="s">
        <v>3058</v>
      </c>
      <c r="B171" s="3140"/>
      <c r="C171" s="3140"/>
      <c r="D171" s="3141"/>
      <c r="E171" s="3142"/>
      <c r="F171" s="3082"/>
      <c r="G171" s="3082"/>
      <c r="H171" s="3082"/>
      <c r="I171" s="646" t="s">
        <v>3838</v>
      </c>
      <c r="J171" s="477" t="s">
        <v>3838</v>
      </c>
      <c r="K171" s="477"/>
      <c r="L171" s="649"/>
      <c r="M171" s="482" t="s">
        <v>3838</v>
      </c>
      <c r="N171" s="3143"/>
      <c r="O171" s="3082"/>
      <c r="P171" s="3082"/>
      <c r="Q171" s="3082"/>
      <c r="R171" s="3082"/>
      <c r="S171" s="3083"/>
      <c r="Z171" s="1706">
        <v>171</v>
      </c>
    </row>
    <row r="172" spans="1:26" s="144" customFormat="1" ht="23.25" customHeight="1">
      <c r="A172" s="3134" t="s">
        <v>3059</v>
      </c>
      <c r="B172" s="3135"/>
      <c r="C172" s="3135"/>
      <c r="D172" s="3136"/>
      <c r="E172" s="3137"/>
      <c r="F172" s="3079"/>
      <c r="G172" s="3079"/>
      <c r="H172" s="3079"/>
      <c r="I172" s="647" t="s">
        <v>3838</v>
      </c>
      <c r="J172" s="478" t="s">
        <v>3838</v>
      </c>
      <c r="K172" s="478"/>
      <c r="L172" s="650"/>
      <c r="M172" s="483" t="s">
        <v>3838</v>
      </c>
      <c r="N172" s="3138"/>
      <c r="O172" s="3079"/>
      <c r="P172" s="3079"/>
      <c r="Q172" s="3079"/>
      <c r="R172" s="3079"/>
      <c r="S172" s="3080"/>
      <c r="U172" s="3012" t="s">
        <v>1883</v>
      </c>
      <c r="V172" s="3012"/>
      <c r="Z172" s="1706">
        <v>172</v>
      </c>
    </row>
    <row r="173" spans="1:26" s="144" customFormat="1" ht="23.25" customHeight="1">
      <c r="A173" s="3134" t="s">
        <v>3060</v>
      </c>
      <c r="B173" s="3135"/>
      <c r="C173" s="3135"/>
      <c r="D173" s="3136"/>
      <c r="E173" s="3137"/>
      <c r="F173" s="3079"/>
      <c r="G173" s="3079"/>
      <c r="H173" s="3079"/>
      <c r="I173" s="647" t="s">
        <v>3838</v>
      </c>
      <c r="J173" s="478" t="s">
        <v>3838</v>
      </c>
      <c r="K173" s="478"/>
      <c r="L173" s="650"/>
      <c r="M173" s="483" t="s">
        <v>3838</v>
      </c>
      <c r="N173" s="3138"/>
      <c r="O173" s="3079"/>
      <c r="P173" s="3079"/>
      <c r="Q173" s="3079"/>
      <c r="R173" s="3079"/>
      <c r="S173" s="3080"/>
      <c r="U173" s="3012"/>
      <c r="V173" s="3012"/>
      <c r="Z173" s="1706">
        <v>173</v>
      </c>
    </row>
    <row r="174" spans="1:26" s="144" customFormat="1" ht="23.25" customHeight="1">
      <c r="A174" s="3134" t="s">
        <v>3061</v>
      </c>
      <c r="B174" s="3135"/>
      <c r="C174" s="3135"/>
      <c r="D174" s="3136"/>
      <c r="E174" s="3137"/>
      <c r="F174" s="3079"/>
      <c r="G174" s="3079"/>
      <c r="H174" s="3079"/>
      <c r="I174" s="647" t="s">
        <v>3838</v>
      </c>
      <c r="J174" s="478" t="s">
        <v>3838</v>
      </c>
      <c r="K174" s="478"/>
      <c r="L174" s="650"/>
      <c r="M174" s="483" t="s">
        <v>3838</v>
      </c>
      <c r="N174" s="3138"/>
      <c r="O174" s="3079"/>
      <c r="P174" s="3079"/>
      <c r="Q174" s="3079"/>
      <c r="R174" s="3079"/>
      <c r="S174" s="3080"/>
      <c r="U174" s="3012"/>
      <c r="V174" s="3012"/>
      <c r="Z174" s="1706">
        <v>174</v>
      </c>
    </row>
    <row r="175" spans="1:26" s="144" customFormat="1" ht="23.25" customHeight="1">
      <c r="A175" s="3134" t="s">
        <v>3062</v>
      </c>
      <c r="B175" s="3135"/>
      <c r="C175" s="3135"/>
      <c r="D175" s="3136"/>
      <c r="E175" s="3137"/>
      <c r="F175" s="3079"/>
      <c r="G175" s="3079"/>
      <c r="H175" s="3079"/>
      <c r="I175" s="647" t="s">
        <v>3838</v>
      </c>
      <c r="J175" s="478" t="s">
        <v>3838</v>
      </c>
      <c r="K175" s="478"/>
      <c r="L175" s="650"/>
      <c r="M175" s="483" t="s">
        <v>3838</v>
      </c>
      <c r="N175" s="3138"/>
      <c r="O175" s="3079"/>
      <c r="P175" s="3079"/>
      <c r="Q175" s="3079"/>
      <c r="R175" s="3079"/>
      <c r="S175" s="3080"/>
      <c r="U175" s="3012"/>
      <c r="V175" s="3012"/>
      <c r="Z175" s="1706">
        <v>175</v>
      </c>
    </row>
    <row r="176" spans="1:26" s="144" customFormat="1" ht="23.25" customHeight="1">
      <c r="A176" s="3134" t="s">
        <v>2568</v>
      </c>
      <c r="B176" s="3135"/>
      <c r="C176" s="3135"/>
      <c r="D176" s="3136"/>
      <c r="E176" s="3137"/>
      <c r="F176" s="3079"/>
      <c r="G176" s="3079"/>
      <c r="H176" s="3079"/>
      <c r="I176" s="647" t="s">
        <v>3838</v>
      </c>
      <c r="J176" s="478" t="s">
        <v>3838</v>
      </c>
      <c r="K176" s="478"/>
      <c r="L176" s="650"/>
      <c r="M176" s="483" t="s">
        <v>3838</v>
      </c>
      <c r="N176" s="3138"/>
      <c r="O176" s="3079"/>
      <c r="P176" s="3079"/>
      <c r="Q176" s="3079"/>
      <c r="R176" s="3079"/>
      <c r="S176" s="3080"/>
      <c r="U176" s="3012"/>
      <c r="V176" s="3012"/>
      <c r="Z176" s="1706">
        <v>176</v>
      </c>
    </row>
    <row r="177" spans="1:26" s="144" customFormat="1" ht="23.25" customHeight="1">
      <c r="A177" s="3134" t="s">
        <v>607</v>
      </c>
      <c r="B177" s="3135"/>
      <c r="C177" s="3135"/>
      <c r="D177" s="3136"/>
      <c r="E177" s="3137"/>
      <c r="F177" s="3079"/>
      <c r="G177" s="3079"/>
      <c r="H177" s="3079"/>
      <c r="I177" s="647" t="s">
        <v>3838</v>
      </c>
      <c r="J177" s="478" t="s">
        <v>3838</v>
      </c>
      <c r="K177" s="478"/>
      <c r="L177" s="650"/>
      <c r="M177" s="483" t="s">
        <v>3838</v>
      </c>
      <c r="N177" s="3138"/>
      <c r="O177" s="3079"/>
      <c r="P177" s="3079"/>
      <c r="Q177" s="3079"/>
      <c r="R177" s="3079"/>
      <c r="S177" s="3080"/>
      <c r="U177" s="3012"/>
      <c r="V177" s="3012"/>
      <c r="Z177" s="1706">
        <v>177</v>
      </c>
    </row>
    <row r="178" spans="1:26" s="144" customFormat="1" ht="23.25" customHeight="1">
      <c r="A178" s="3134" t="s">
        <v>2569</v>
      </c>
      <c r="B178" s="3135"/>
      <c r="C178" s="3135"/>
      <c r="D178" s="3136"/>
      <c r="E178" s="3137"/>
      <c r="F178" s="3079"/>
      <c r="G178" s="3079"/>
      <c r="H178" s="3079"/>
      <c r="I178" s="647" t="s">
        <v>3838</v>
      </c>
      <c r="J178" s="478" t="s">
        <v>3838</v>
      </c>
      <c r="K178" s="478"/>
      <c r="L178" s="650"/>
      <c r="M178" s="483" t="s">
        <v>3838</v>
      </c>
      <c r="N178" s="3138"/>
      <c r="O178" s="3079"/>
      <c r="P178" s="3079"/>
      <c r="Q178" s="3079"/>
      <c r="R178" s="3079"/>
      <c r="S178" s="3080"/>
      <c r="Z178" s="1706">
        <v>178</v>
      </c>
    </row>
    <row r="179" spans="1:26" s="144" customFormat="1" ht="23.25" customHeight="1">
      <c r="A179" s="3134" t="s">
        <v>2570</v>
      </c>
      <c r="B179" s="3135"/>
      <c r="C179" s="3135"/>
      <c r="D179" s="3136"/>
      <c r="E179" s="3137"/>
      <c r="F179" s="3079"/>
      <c r="G179" s="3079"/>
      <c r="H179" s="3079"/>
      <c r="I179" s="647" t="s">
        <v>3838</v>
      </c>
      <c r="J179" s="478" t="s">
        <v>3838</v>
      </c>
      <c r="K179" s="478"/>
      <c r="L179" s="650"/>
      <c r="M179" s="483" t="s">
        <v>3838</v>
      </c>
      <c r="N179" s="3138"/>
      <c r="O179" s="3079"/>
      <c r="P179" s="3079"/>
      <c r="Q179" s="3079"/>
      <c r="R179" s="3079"/>
      <c r="S179" s="3080"/>
      <c r="Z179" s="1706">
        <v>179</v>
      </c>
    </row>
    <row r="180" spans="1:26" s="144" customFormat="1" ht="23.25" customHeight="1">
      <c r="A180" s="3134" t="s">
        <v>2572</v>
      </c>
      <c r="B180" s="3135"/>
      <c r="C180" s="3135"/>
      <c r="D180" s="3136"/>
      <c r="E180" s="3137"/>
      <c r="F180" s="3079"/>
      <c r="G180" s="3079"/>
      <c r="H180" s="3079"/>
      <c r="I180" s="647" t="s">
        <v>3838</v>
      </c>
      <c r="J180" s="478" t="s">
        <v>3838</v>
      </c>
      <c r="K180" s="478"/>
      <c r="L180" s="650"/>
      <c r="M180" s="483" t="s">
        <v>3838</v>
      </c>
      <c r="N180" s="3138"/>
      <c r="O180" s="3079"/>
      <c r="P180" s="3079"/>
      <c r="Q180" s="3079"/>
      <c r="R180" s="3079"/>
      <c r="S180" s="3080"/>
      <c r="Z180" s="1706">
        <v>180</v>
      </c>
    </row>
    <row r="181" spans="1:26" s="144" customFormat="1" ht="23.25" customHeight="1">
      <c r="A181" s="3134" t="s">
        <v>2571</v>
      </c>
      <c r="B181" s="3135"/>
      <c r="C181" s="3135"/>
      <c r="D181" s="3136"/>
      <c r="E181" s="3137"/>
      <c r="F181" s="3079"/>
      <c r="G181" s="3079"/>
      <c r="H181" s="3079"/>
      <c r="I181" s="647" t="s">
        <v>3838</v>
      </c>
      <c r="J181" s="478" t="s">
        <v>3838</v>
      </c>
      <c r="K181" s="478"/>
      <c r="L181" s="650"/>
      <c r="M181" s="483" t="s">
        <v>3838</v>
      </c>
      <c r="N181" s="3138"/>
      <c r="O181" s="3079"/>
      <c r="P181" s="3079"/>
      <c r="Q181" s="3079"/>
      <c r="R181" s="3079"/>
      <c r="S181" s="3080"/>
      <c r="Z181" s="1706">
        <v>181</v>
      </c>
    </row>
    <row r="182" spans="1:26" s="144" customFormat="1" ht="23.25" customHeight="1">
      <c r="A182" s="3134" t="s">
        <v>1431</v>
      </c>
      <c r="B182" s="3135"/>
      <c r="C182" s="3135"/>
      <c r="D182" s="3136"/>
      <c r="E182" s="3137"/>
      <c r="F182" s="3079"/>
      <c r="G182" s="3079"/>
      <c r="H182" s="3079"/>
      <c r="I182" s="647" t="s">
        <v>3838</v>
      </c>
      <c r="J182" s="478" t="s">
        <v>3838</v>
      </c>
      <c r="K182" s="478"/>
      <c r="L182" s="650"/>
      <c r="M182" s="483" t="s">
        <v>3838</v>
      </c>
      <c r="N182" s="3138"/>
      <c r="O182" s="3079"/>
      <c r="P182" s="3079"/>
      <c r="Q182" s="3079"/>
      <c r="R182" s="3079"/>
      <c r="S182" s="3080"/>
      <c r="Z182" s="1706">
        <v>182</v>
      </c>
    </row>
    <row r="183" spans="1:26" s="144" customFormat="1" ht="23.25" customHeight="1">
      <c r="A183" s="3123" t="s">
        <v>2573</v>
      </c>
      <c r="B183" s="3124"/>
      <c r="C183" s="3124"/>
      <c r="D183" s="3125"/>
      <c r="E183" s="3126"/>
      <c r="F183" s="3076"/>
      <c r="G183" s="3076"/>
      <c r="H183" s="3076"/>
      <c r="I183" s="648" t="s">
        <v>3838</v>
      </c>
      <c r="J183" s="479" t="s">
        <v>3838</v>
      </c>
      <c r="K183" s="479"/>
      <c r="L183" s="651"/>
      <c r="M183" s="484" t="s">
        <v>3838</v>
      </c>
      <c r="N183" s="3127"/>
      <c r="O183" s="3076"/>
      <c r="P183" s="3076"/>
      <c r="Q183" s="3076"/>
      <c r="R183" s="3076"/>
      <c r="S183" s="3077"/>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8"/>
      <c r="B186" s="3129"/>
      <c r="C186" s="3129"/>
      <c r="D186" s="3129"/>
      <c r="E186" s="3129"/>
      <c r="F186" s="3129"/>
      <c r="G186" s="3129"/>
      <c r="H186" s="3129"/>
      <c r="I186" s="3129"/>
      <c r="J186" s="3129"/>
      <c r="K186" s="3129"/>
      <c r="L186" s="3129"/>
      <c r="M186" s="3130"/>
      <c r="N186" s="3131"/>
      <c r="O186" s="3132"/>
      <c r="P186" s="3132"/>
      <c r="Q186" s="3132"/>
      <c r="R186" s="3132"/>
      <c r="S186" s="3133"/>
      <c r="T186" s="3012" t="s">
        <v>2452</v>
      </c>
      <c r="U186" s="3012"/>
      <c r="V186" s="3012"/>
      <c r="W186" s="3012"/>
      <c r="X186" s="3012"/>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2"/>
      <c r="U187" s="3012"/>
      <c r="V187" s="3012"/>
      <c r="W187" s="3012"/>
      <c r="X187" s="3012"/>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Windsor Crossing</v>
      </c>
    </row>
    <row r="2" spans="1:14">
      <c r="A2" s="560" t="s">
        <v>2882</v>
      </c>
      <c r="H2" s="432" t="str">
        <f>'Sensitivity Analysis'!E8</f>
        <v>2023-0</v>
      </c>
    </row>
    <row r="3" spans="1:14" ht="3" customHeight="1"/>
    <row r="4" spans="1:14" ht="69.599999999999994" customHeight="1">
      <c r="A4" s="4828" t="s">
        <v>2978</v>
      </c>
      <c r="B4" s="4828"/>
      <c r="C4" s="4828"/>
      <c r="D4" s="4828"/>
      <c r="E4" s="4828"/>
      <c r="F4" s="4828"/>
      <c r="G4" s="4828"/>
      <c r="H4" s="4828"/>
      <c r="I4" s="4828"/>
      <c r="J4" s="4828"/>
      <c r="K4" s="4828"/>
      <c r="L4" s="4870">
        <f>SUM('Part VI-Pro Forma'!B15:B17)/12</f>
        <v>25735.518</v>
      </c>
      <c r="M4" s="4870"/>
      <c r="N4" s="1493"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13736226</v>
      </c>
      <c r="M11" s="4829"/>
    </row>
    <row r="12" spans="1:14" ht="1.5" customHeight="1">
      <c r="G12" s="617"/>
      <c r="H12" s="617"/>
    </row>
    <row r="13" spans="1:14" ht="25.9"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1</v>
      </c>
      <c r="G26" s="1585">
        <f>'Part V-Revenues &amp; Expenses'!M57</f>
        <v>4</v>
      </c>
      <c r="H26" s="1585">
        <f>'Part V-Revenues &amp; Expenses'!N57</f>
        <v>2</v>
      </c>
      <c r="I26" s="1585">
        <f>'Part V-Revenues &amp; Expenses'!O57</f>
        <v>0</v>
      </c>
      <c r="J26" s="1586">
        <f>'Part V-Revenues &amp; Expenses'!P57</f>
        <v>7</v>
      </c>
      <c r="K26" s="432"/>
      <c r="S26" s="432"/>
    </row>
    <row r="27" spans="1:19" ht="15" customHeight="1">
      <c r="C27" s="736" t="s">
        <v>1081</v>
      </c>
      <c r="D27" s="439"/>
      <c r="E27" s="1584">
        <f>'Part V-Revenues &amp; Expenses'!K58</f>
        <v>0</v>
      </c>
      <c r="F27" s="1585">
        <f>'Part V-Revenues &amp; Expenses'!L58</f>
        <v>3</v>
      </c>
      <c r="G27" s="1585">
        <f>'Part V-Revenues &amp; Expenses'!M58</f>
        <v>11</v>
      </c>
      <c r="H27" s="1585">
        <f>'Part V-Revenues &amp; Expenses'!N58</f>
        <v>7</v>
      </c>
      <c r="I27" s="1585">
        <f>'Part V-Revenues &amp; Expenses'!O58</f>
        <v>0</v>
      </c>
      <c r="J27" s="1586">
        <f>'Part V-Revenues &amp; Expenses'!P58</f>
        <v>21</v>
      </c>
      <c r="K27" s="432"/>
      <c r="S27" s="432"/>
    </row>
    <row r="28" spans="1:19" ht="15" customHeight="1">
      <c r="C28" s="736" t="s">
        <v>112</v>
      </c>
      <c r="D28" s="439"/>
      <c r="E28" s="1584">
        <f>'Part V-Revenues &amp; Expenses'!K59</f>
        <v>0</v>
      </c>
      <c r="F28" s="1585">
        <f>'Part V-Revenues &amp; Expenses'!L59</f>
        <v>2</v>
      </c>
      <c r="G28" s="1585">
        <f>'Part V-Revenues &amp; Expenses'!M59</f>
        <v>9</v>
      </c>
      <c r="H28" s="1585">
        <f>'Part V-Revenues &amp; Expenses'!N59</f>
        <v>5</v>
      </c>
      <c r="I28" s="1585">
        <f>'Part V-Revenues &amp; Expenses'!O59</f>
        <v>0</v>
      </c>
      <c r="J28" s="1586">
        <f>'Part V-Revenues &amp; Expenses'!P59</f>
        <v>16</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6</v>
      </c>
      <c r="G32" s="1579">
        <f>'Part V-Revenues &amp; Expenses'!M63</f>
        <v>24</v>
      </c>
      <c r="H32" s="1579">
        <f>'Part V-Revenues &amp; Expenses'!N63</f>
        <v>14</v>
      </c>
      <c r="I32" s="1579">
        <f>'Part V-Revenues &amp; Expenses'!O63</f>
        <v>0</v>
      </c>
      <c r="J32" s="1588">
        <f>'Part V-Revenues &amp; Expenses'!P63</f>
        <v>44</v>
      </c>
      <c r="K32" s="432"/>
      <c r="S32" s="432"/>
    </row>
    <row r="33" spans="1:12" s="432" customFormat="1" ht="13.15" customHeight="1" thickBot="1">
      <c r="K33" s="1492"/>
    </row>
    <row r="34" spans="1:12" s="432" customFormat="1" ht="14.25" customHeight="1" thickBot="1">
      <c r="A34" s="1492"/>
      <c r="B34" s="4844" t="s">
        <v>6171</v>
      </c>
      <c r="E34" s="4845" t="s">
        <v>6067</v>
      </c>
      <c r="F34" s="4846"/>
      <c r="G34" s="4846"/>
      <c r="H34" s="4846"/>
      <c r="I34" s="4846"/>
      <c r="J34" s="4846"/>
      <c r="K34" s="4846"/>
      <c r="L34" s="4847"/>
    </row>
    <row r="35" spans="1:12" s="432" customFormat="1" ht="14.25" customHeight="1">
      <c r="A35" s="1492"/>
      <c r="B35" s="4844"/>
      <c r="C35" s="4848" t="s">
        <v>6172</v>
      </c>
      <c r="D35" s="4844" t="s">
        <v>6173</v>
      </c>
      <c r="E35" s="4849" t="s">
        <v>6070</v>
      </c>
      <c r="F35" s="4850"/>
      <c r="G35" s="4853" t="s">
        <v>1275</v>
      </c>
      <c r="H35" s="4855" t="s">
        <v>6066</v>
      </c>
      <c r="I35" s="4856"/>
      <c r="J35" s="4856"/>
      <c r="K35" s="4856"/>
      <c r="L35" s="4857"/>
    </row>
    <row r="36" spans="1:12" s="432" customFormat="1" ht="23.25" customHeight="1">
      <c r="A36" s="4848" t="s">
        <v>975</v>
      </c>
      <c r="B36" s="4844"/>
      <c r="C36" s="4848"/>
      <c r="D36" s="4844"/>
      <c r="E36" s="4851"/>
      <c r="F36" s="4852"/>
      <c r="G36" s="4854"/>
      <c r="H36" s="4858" t="s">
        <v>6068</v>
      </c>
      <c r="I36" s="4859"/>
      <c r="J36" s="4862" t="s">
        <v>1275</v>
      </c>
      <c r="K36" s="4859" t="s">
        <v>6069</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15" customHeight="1">
      <c r="A39" s="1571">
        <f>'Part V-Revenues &amp; Expenses'!B18</f>
        <v>50</v>
      </c>
      <c r="B39" s="1572">
        <f>'Part V-Revenues &amp; Expenses'!E18</f>
        <v>2</v>
      </c>
      <c r="C39" s="1573" t="str">
        <f>_xlfn.CONCAT('Part V-Revenues &amp; Expenses'!C18," / ",'Part V-Revenues &amp; Expenses'!D18)</f>
        <v>1 / 1</v>
      </c>
      <c r="D39" s="1572">
        <f>'Part V-Revenues &amp; Expenses'!F18</f>
        <v>800</v>
      </c>
      <c r="E39" s="4868">
        <f>'Part V-Revenues &amp; Expenses'!H18</f>
        <v>584</v>
      </c>
      <c r="F39" s="4869"/>
      <c r="G39" s="439"/>
      <c r="H39" s="4838"/>
      <c r="I39" s="4839"/>
      <c r="J39" s="4839"/>
      <c r="K39" s="4839"/>
      <c r="L39" s="4840"/>
    </row>
    <row r="40" spans="1:12" s="432" customFormat="1" ht="13.15" customHeight="1">
      <c r="A40" s="1574">
        <f>'Part V-Revenues &amp; Expenses'!B19</f>
        <v>50</v>
      </c>
      <c r="B40" s="1575">
        <f>'Part V-Revenues &amp; Expenses'!E19</f>
        <v>9</v>
      </c>
      <c r="C40" s="1576" t="str">
        <f>_xlfn.CONCAT('Part V-Revenues &amp; Expenses'!C19," / ",'Part V-Revenues &amp; Expenses'!D19)</f>
        <v>2 / 2</v>
      </c>
      <c r="D40" s="1575">
        <f>'Part V-Revenues &amp; Expenses'!F19</f>
        <v>964</v>
      </c>
      <c r="E40" s="4836">
        <f>'Part V-Revenues &amp; Expenses'!H19</f>
        <v>677</v>
      </c>
      <c r="F40" s="4837"/>
      <c r="G40" s="439"/>
      <c r="H40" s="4833"/>
      <c r="I40" s="4834"/>
      <c r="J40" s="4834"/>
      <c r="K40" s="4834"/>
      <c r="L40" s="4835"/>
    </row>
    <row r="41" spans="1:12" s="432" customFormat="1" ht="13.15" customHeight="1">
      <c r="A41" s="1574">
        <f>'Part V-Revenues &amp; Expenses'!B20</f>
        <v>50</v>
      </c>
      <c r="B41" s="1575">
        <f>'Part V-Revenues &amp; Expenses'!E20</f>
        <v>5</v>
      </c>
      <c r="C41" s="1576" t="str">
        <f>_xlfn.CONCAT('Part V-Revenues &amp; Expenses'!C20," / ",'Part V-Revenues &amp; Expenses'!D20)</f>
        <v>3 / 2</v>
      </c>
      <c r="D41" s="1575">
        <f>'Part V-Revenues &amp; Expenses'!F20</f>
        <v>1157</v>
      </c>
      <c r="E41" s="4836">
        <f>'Part V-Revenues &amp; Expenses'!H20</f>
        <v>751</v>
      </c>
      <c r="F41" s="4837"/>
      <c r="G41" s="439"/>
      <c r="H41" s="4833"/>
      <c r="I41" s="4834"/>
      <c r="J41" s="4834"/>
      <c r="K41" s="4834"/>
      <c r="L41" s="4835"/>
    </row>
    <row r="42" spans="1:12" s="432" customFormat="1" ht="13.15" customHeight="1">
      <c r="A42" s="1574">
        <f>'Part V-Revenues &amp; Expenses'!B21</f>
        <v>60</v>
      </c>
      <c r="B42" s="1575">
        <f>'Part V-Revenues &amp; Expenses'!E21</f>
        <v>3</v>
      </c>
      <c r="C42" s="1576" t="str">
        <f>_xlfn.CONCAT('Part V-Revenues &amp; Expenses'!C21," / ",'Part V-Revenues &amp; Expenses'!D21)</f>
        <v>1 / 1</v>
      </c>
      <c r="D42" s="1575">
        <f>'Part V-Revenues &amp; Expenses'!F21</f>
        <v>800</v>
      </c>
      <c r="E42" s="4836">
        <f>'Part V-Revenues &amp; Expenses'!H21</f>
        <v>649</v>
      </c>
      <c r="F42" s="4837"/>
      <c r="G42" s="439"/>
      <c r="H42" s="4833"/>
      <c r="I42" s="4834"/>
      <c r="J42" s="4834"/>
      <c r="K42" s="4834"/>
      <c r="L42" s="4835"/>
    </row>
    <row r="43" spans="1:12" s="432" customFormat="1" ht="13.15" customHeight="1">
      <c r="A43" s="1574">
        <f>'Part V-Revenues &amp; Expenses'!B22</f>
        <v>60</v>
      </c>
      <c r="B43" s="1575">
        <f>'Part V-Revenues &amp; Expenses'!E22</f>
        <v>11</v>
      </c>
      <c r="C43" s="1576" t="str">
        <f>_xlfn.CONCAT('Part V-Revenues &amp; Expenses'!C22," / ",'Part V-Revenues &amp; Expenses'!D22)</f>
        <v>2 / 2</v>
      </c>
      <c r="D43" s="1575">
        <f>'Part V-Revenues &amp; Expenses'!F22</f>
        <v>964</v>
      </c>
      <c r="E43" s="4836">
        <f>'Part V-Revenues &amp; Expenses'!H22</f>
        <v>737</v>
      </c>
      <c r="F43" s="4837"/>
      <c r="G43" s="439"/>
      <c r="H43" s="4833"/>
      <c r="I43" s="4834"/>
      <c r="J43" s="4834"/>
      <c r="K43" s="4834"/>
      <c r="L43" s="4835"/>
    </row>
    <row r="44" spans="1:12" s="432" customFormat="1" ht="13.15" customHeight="1">
      <c r="A44" s="1574">
        <f>'Part V-Revenues &amp; Expenses'!B23</f>
        <v>60</v>
      </c>
      <c r="B44" s="1575">
        <f>'Part V-Revenues &amp; Expenses'!E23</f>
        <v>7</v>
      </c>
      <c r="C44" s="1576" t="str">
        <f>_xlfn.CONCAT('Part V-Revenues &amp; Expenses'!C23," / ",'Part V-Revenues &amp; Expenses'!D23)</f>
        <v>3 / 2</v>
      </c>
      <c r="D44" s="1575">
        <f>'Part V-Revenues &amp; Expenses'!F23</f>
        <v>1157</v>
      </c>
      <c r="E44" s="4836">
        <f>'Part V-Revenues &amp; Expenses'!H23</f>
        <v>846</v>
      </c>
      <c r="F44" s="4837"/>
      <c r="G44" s="439"/>
      <c r="H44" s="4833"/>
      <c r="I44" s="4834"/>
      <c r="J44" s="4834"/>
      <c r="K44" s="4834"/>
      <c r="L44" s="4835"/>
    </row>
    <row r="45" spans="1:12" s="432" customFormat="1" ht="13.15" customHeight="1">
      <c r="A45" s="1574">
        <f>'Part V-Revenues &amp; Expenses'!B24</f>
        <v>70</v>
      </c>
      <c r="B45" s="1575">
        <f>'Part V-Revenues &amp; Expenses'!E24</f>
        <v>1</v>
      </c>
      <c r="C45" s="1576" t="str">
        <f>_xlfn.CONCAT('Part V-Revenues &amp; Expenses'!C24," / ",'Part V-Revenues &amp; Expenses'!D24)</f>
        <v>1 / 1</v>
      </c>
      <c r="D45" s="1575">
        <f>'Part V-Revenues &amp; Expenses'!F24</f>
        <v>800</v>
      </c>
      <c r="E45" s="4836">
        <f>'Part V-Revenues &amp; Expenses'!H24</f>
        <v>724</v>
      </c>
      <c r="F45" s="4837"/>
      <c r="G45" s="439"/>
      <c r="H45" s="4833"/>
      <c r="I45" s="4834"/>
      <c r="J45" s="4834"/>
      <c r="K45" s="4834"/>
      <c r="L45" s="4835"/>
    </row>
    <row r="46" spans="1:12" s="432" customFormat="1" ht="13.15" customHeight="1">
      <c r="A46" s="1574">
        <f>'Part V-Revenues &amp; Expenses'!B25</f>
        <v>70</v>
      </c>
      <c r="B46" s="1575">
        <f>'Part V-Revenues &amp; Expenses'!E25</f>
        <v>4</v>
      </c>
      <c r="C46" s="1576" t="str">
        <f>_xlfn.CONCAT('Part V-Revenues &amp; Expenses'!C25," / ",'Part V-Revenues &amp; Expenses'!D25)</f>
        <v>2 / 2</v>
      </c>
      <c r="D46" s="1575">
        <f>'Part V-Revenues &amp; Expenses'!F25</f>
        <v>964</v>
      </c>
      <c r="E46" s="4836">
        <f>'Part V-Revenues &amp; Expenses'!H25</f>
        <v>837</v>
      </c>
      <c r="F46" s="4837"/>
      <c r="G46" s="439"/>
      <c r="H46" s="4833"/>
      <c r="I46" s="4834"/>
      <c r="J46" s="4834"/>
      <c r="K46" s="4834"/>
      <c r="L46" s="4835"/>
    </row>
    <row r="47" spans="1:12" s="432" customFormat="1" ht="13.15" customHeight="1">
      <c r="A47" s="1574">
        <f>'Part V-Revenues &amp; Expenses'!B26</f>
        <v>70</v>
      </c>
      <c r="B47" s="1575">
        <f>'Part V-Revenues &amp; Expenses'!E26</f>
        <v>2</v>
      </c>
      <c r="C47" s="1576" t="str">
        <f>_xlfn.CONCAT('Part V-Revenues &amp; Expenses'!C26," / ",'Part V-Revenues &amp; Expenses'!D26)</f>
        <v>3 / 2</v>
      </c>
      <c r="D47" s="1575">
        <f>'Part V-Revenues &amp; Expenses'!F26</f>
        <v>1157</v>
      </c>
      <c r="E47" s="4836">
        <f>'Part V-Revenues &amp; Expenses'!H26</f>
        <v>946</v>
      </c>
      <c r="F47" s="4837"/>
      <c r="G47" s="439"/>
      <c r="H47" s="4833"/>
      <c r="I47" s="4834"/>
      <c r="J47" s="4834"/>
      <c r="K47" s="4834"/>
      <c r="L47" s="4835"/>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33"/>
      <c r="I48" s="4834"/>
      <c r="J48" s="4834"/>
      <c r="K48" s="4834"/>
      <c r="L48" s="4835"/>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33"/>
      <c r="I49" s="4834"/>
      <c r="J49" s="4834"/>
      <c r="K49" s="4834"/>
      <c r="L49" s="4835"/>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33"/>
      <c r="I50" s="4834"/>
      <c r="J50" s="4834"/>
      <c r="K50" s="4834"/>
      <c r="L50" s="4835"/>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33"/>
      <c r="I51" s="4834"/>
      <c r="J51" s="4834"/>
      <c r="K51" s="4834"/>
      <c r="L51" s="4835"/>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33"/>
      <c r="I52" s="4834"/>
      <c r="J52" s="4834"/>
      <c r="K52" s="4834"/>
      <c r="L52" s="4835"/>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33"/>
      <c r="I53" s="4834"/>
      <c r="J53" s="4834"/>
      <c r="K53" s="4834"/>
      <c r="L53" s="4835"/>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33"/>
      <c r="I54" s="4834"/>
      <c r="J54" s="4834"/>
      <c r="K54" s="4834"/>
      <c r="L54" s="4835"/>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33"/>
      <c r="I55" s="4834"/>
      <c r="J55" s="4834"/>
      <c r="K55" s="4834"/>
      <c r="L55" s="4835"/>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33"/>
      <c r="I56" s="4834"/>
      <c r="J56" s="4834"/>
      <c r="K56" s="4834"/>
      <c r="L56" s="4835"/>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33"/>
      <c r="I57" s="4834"/>
      <c r="J57" s="4834"/>
      <c r="K57" s="4834"/>
      <c r="L57" s="4835"/>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33"/>
      <c r="I58" s="4834"/>
      <c r="J58" s="4834"/>
      <c r="K58" s="4834"/>
      <c r="L58" s="4835"/>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33"/>
      <c r="I59" s="4834"/>
      <c r="J59" s="4834"/>
      <c r="K59" s="4834"/>
      <c r="L59" s="4835"/>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33"/>
      <c r="I60" s="4834"/>
      <c r="J60" s="4834"/>
      <c r="K60" s="4834"/>
      <c r="L60" s="4835"/>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33"/>
      <c r="I61" s="4834"/>
      <c r="J61" s="4834"/>
      <c r="K61" s="4834"/>
      <c r="L61" s="4835"/>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33"/>
      <c r="I62" s="4834"/>
      <c r="J62" s="4834"/>
      <c r="K62" s="4834"/>
      <c r="L62" s="4835"/>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33"/>
      <c r="I63" s="4834"/>
      <c r="J63" s="4834"/>
      <c r="K63" s="4834"/>
      <c r="L63" s="4835"/>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33"/>
      <c r="I64" s="4834"/>
      <c r="J64" s="4834"/>
      <c r="K64" s="4834"/>
      <c r="L64" s="4835"/>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33"/>
      <c r="I65" s="4834"/>
      <c r="J65" s="4834"/>
      <c r="K65" s="4834"/>
      <c r="L65" s="4835"/>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33"/>
      <c r="I66" s="4834"/>
      <c r="J66" s="4834"/>
      <c r="K66" s="4834"/>
      <c r="L66" s="4835"/>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33"/>
      <c r="I67" s="4834"/>
      <c r="J67" s="4834"/>
      <c r="K67" s="4834"/>
      <c r="L67" s="4835"/>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33"/>
      <c r="I68" s="4834"/>
      <c r="J68" s="4834"/>
      <c r="K68" s="4834"/>
      <c r="L68" s="4835"/>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841"/>
      <c r="I69" s="4842"/>
      <c r="J69" s="4842"/>
      <c r="K69" s="4842"/>
      <c r="L69" s="4843"/>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8" t="s">
        <v>3479</v>
      </c>
      <c r="C1" s="4728"/>
      <c r="D1" s="4728"/>
      <c r="E1" s="4728"/>
      <c r="F1" s="4728"/>
      <c r="G1" s="4728"/>
      <c r="H1" s="4728"/>
      <c r="I1" s="4728"/>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Windsor Crossing</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8" t="s">
        <v>3487</v>
      </c>
      <c r="I35" s="4893"/>
    </row>
    <row r="36" spans="2:9">
      <c r="B36" s="1059" t="s">
        <v>3486</v>
      </c>
      <c r="C36" s="523"/>
      <c r="D36" s="523"/>
      <c r="F36" s="1258"/>
      <c r="G36" s="617"/>
      <c r="H36" s="4828"/>
      <c r="I36" s="4893"/>
    </row>
    <row r="37" spans="2:9">
      <c r="B37" s="1059" t="s">
        <v>3484</v>
      </c>
      <c r="D37" s="523"/>
      <c r="F37" s="1259"/>
      <c r="G37" s="617"/>
      <c r="H37" s="4828"/>
      <c r="I37" s="4893"/>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3489</v>
      </c>
      <c r="C52" s="4873" t="str">
        <f>'Part I-Project Identification'!F26</f>
        <v>Nashville</v>
      </c>
      <c r="D52" s="4874"/>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10109757</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10109757</v>
      </c>
      <c r="G84" s="4897"/>
      <c r="I84" s="1049"/>
    </row>
    <row r="85" spans="2:9">
      <c r="B85" s="1047"/>
      <c r="C85" s="432" t="s">
        <v>2928</v>
      </c>
      <c r="F85" s="4872">
        <f>'Part II-Sources of Funds'!I47+'Part II-Sources of Funds'!L47</f>
        <v>5590.031799890261</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f>SUM(F84:G88)</f>
        <v>10126347.03179989</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f>+F103+F101+F95+F89</f>
        <v>10126347.03179989</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6" t="s">
        <v>6617</v>
      </c>
      <c r="R11" s="492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8" t="s">
        <v>3907</v>
      </c>
      <c r="R13" s="4908"/>
      <c r="S13" s="144"/>
      <c r="T13" s="144"/>
      <c r="U13" s="144"/>
      <c r="AA13" s="68"/>
      <c r="AB13" s="68"/>
    </row>
    <row r="14" spans="1:28" s="145" customFormat="1" ht="12.75" hidden="1" customHeight="1">
      <c r="A14" s="147"/>
      <c r="B14" s="147"/>
      <c r="C14" s="147"/>
      <c r="K14" s="236" t="s">
        <v>3908</v>
      </c>
      <c r="L14" s="236"/>
      <c r="N14" s="234"/>
      <c r="O14" s="147"/>
      <c r="P14" s="144"/>
      <c r="Q14" s="4906">
        <v>0.2</v>
      </c>
      <c r="R14" s="4907"/>
      <c r="S14" s="144"/>
      <c r="T14" s="144"/>
      <c r="U14" s="144"/>
      <c r="AA14" s="68"/>
      <c r="AB14" s="68"/>
    </row>
    <row r="15" spans="1:28" s="145" customFormat="1" ht="12.75" hidden="1" customHeight="1">
      <c r="A15" s="147"/>
      <c r="B15" s="147"/>
      <c r="C15" s="147"/>
      <c r="K15" s="236" t="s">
        <v>3909</v>
      </c>
      <c r="L15" s="236"/>
      <c r="N15" s="234"/>
      <c r="O15" s="147"/>
      <c r="P15" s="144"/>
      <c r="Q15" s="4929">
        <v>0.15</v>
      </c>
      <c r="R15" s="4930"/>
      <c r="S15" s="144"/>
      <c r="T15" s="144"/>
      <c r="U15" s="144"/>
      <c r="AA15" s="68"/>
      <c r="AB15" s="68"/>
    </row>
    <row r="16" spans="1:28" s="145" customFormat="1" ht="12.75" hidden="1" customHeight="1">
      <c r="A16" s="147"/>
      <c r="B16" s="147"/>
      <c r="C16" s="147"/>
      <c r="K16" s="236" t="s">
        <v>3910</v>
      </c>
      <c r="L16" s="236"/>
      <c r="N16" s="234"/>
      <c r="O16" s="147"/>
      <c r="P16" s="144"/>
      <c r="Q16" s="4929">
        <v>0.15</v>
      </c>
      <c r="R16" s="4930"/>
      <c r="S16" s="144"/>
      <c r="T16" s="144"/>
      <c r="U16" s="144"/>
      <c r="AA16" s="68"/>
      <c r="AB16" s="68"/>
    </row>
    <row r="17" spans="1:28" s="145" customFormat="1" ht="12.75" hidden="1" customHeight="1">
      <c r="A17" s="147"/>
      <c r="B17" s="147"/>
      <c r="C17" s="147"/>
      <c r="K17" s="236" t="s">
        <v>3911</v>
      </c>
      <c r="L17" s="236"/>
      <c r="N17" s="234"/>
      <c r="O17" s="147"/>
      <c r="P17" s="144"/>
      <c r="Q17" s="4929">
        <v>0.1</v>
      </c>
      <c r="R17" s="4930"/>
      <c r="S17" s="144"/>
      <c r="T17" s="144"/>
      <c r="U17" s="144"/>
      <c r="AA17" s="68"/>
      <c r="AB17" s="68"/>
    </row>
    <row r="18" spans="1:28" s="145" customFormat="1" ht="12.75" hidden="1" customHeight="1">
      <c r="A18" s="147"/>
      <c r="B18" s="147"/>
      <c r="C18" s="147"/>
      <c r="K18" s="236" t="s">
        <v>3912</v>
      </c>
      <c r="L18" s="236"/>
      <c r="N18" s="234"/>
      <c r="O18" s="147"/>
      <c r="P18" s="144"/>
      <c r="Q18" s="4927">
        <v>0.1</v>
      </c>
      <c r="R18" s="492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3">
        <v>2500</v>
      </c>
      <c r="R44" s="491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3">
        <v>2500</v>
      </c>
      <c r="R45" s="491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3">
        <v>2000</v>
      </c>
      <c r="R46" s="491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6">
        <v>1500</v>
      </c>
      <c r="R47" s="491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3">
        <v>6500</v>
      </c>
      <c r="R48" s="491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3">
        <v>5500</v>
      </c>
      <c r="R49" s="491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3">
        <v>500</v>
      </c>
      <c r="R50" s="491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3">
        <v>10000</v>
      </c>
      <c r="R51" s="491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3">
        <v>1500</v>
      </c>
      <c r="R53" s="491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3">
        <v>1500</v>
      </c>
      <c r="R54" s="491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3">
        <v>2500</v>
      </c>
      <c r="R55" s="491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5">
        <v>0.08</v>
      </c>
      <c r="R56" s="4915"/>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5">
        <v>0.08</v>
      </c>
      <c r="R57" s="4915"/>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3">
        <v>8000</v>
      </c>
      <c r="R58" s="491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3"/>
      <c r="R59" s="491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2">
        <v>1000</v>
      </c>
      <c r="R61" s="494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2">
        <v>800</v>
      </c>
      <c r="R62" s="494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3">
        <v>750</v>
      </c>
      <c r="R64" s="4564"/>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9"/>
      <c r="I69" s="165"/>
      <c r="J69" s="1520">
        <v>71</v>
      </c>
      <c r="K69" s="1521"/>
      <c r="L69" s="165"/>
      <c r="M69" s="165"/>
      <c r="N69" s="165"/>
      <c r="O69" s="165"/>
      <c r="P69" s="1522"/>
      <c r="Q69" s="4945">
        <v>16500</v>
      </c>
      <c r="R69" s="4945"/>
      <c r="AA69"/>
      <c r="AB69"/>
    </row>
    <row r="70" spans="1:28" ht="11.25" customHeight="1">
      <c r="H70" s="1523">
        <v>0.04</v>
      </c>
      <c r="I70" s="1524"/>
      <c r="J70" s="1525">
        <v>1</v>
      </c>
      <c r="K70" s="1525">
        <v>50</v>
      </c>
      <c r="L70" s="1524"/>
      <c r="M70" s="1524"/>
      <c r="N70" s="1524"/>
      <c r="O70" s="1524"/>
      <c r="P70" s="1526"/>
      <c r="Q70" s="4944">
        <v>27500</v>
      </c>
      <c r="R70" s="4944"/>
      <c r="AA70"/>
      <c r="AB70"/>
    </row>
    <row r="71" spans="1:28" ht="11.25" customHeight="1">
      <c r="H71" s="1296"/>
      <c r="J71" s="392">
        <v>51</v>
      </c>
      <c r="K71" s="392">
        <v>70</v>
      </c>
      <c r="Q71" s="4922">
        <v>22000</v>
      </c>
      <c r="R71" s="4922"/>
      <c r="AA71"/>
      <c r="AB71"/>
    </row>
    <row r="72" spans="1:28" ht="11.25" customHeight="1">
      <c r="H72" s="1296"/>
      <c r="J72" s="392">
        <v>71</v>
      </c>
      <c r="K72" s="1296"/>
      <c r="Q72" s="4945">
        <v>16500</v>
      </c>
      <c r="R72" s="4945"/>
      <c r="AA72"/>
      <c r="AB72"/>
    </row>
    <row r="73" spans="1:28" ht="11.25" customHeight="1">
      <c r="F73" s="236" t="s">
        <v>3915</v>
      </c>
      <c r="H73" s="370"/>
      <c r="I73" s="44"/>
      <c r="AA73"/>
      <c r="AB73"/>
    </row>
    <row r="74" spans="1:28" ht="11.25" customHeight="1">
      <c r="H74" s="1297">
        <v>0.09</v>
      </c>
      <c r="I74" s="236"/>
      <c r="Q74" s="4946">
        <v>2000000</v>
      </c>
      <c r="R74" s="4946"/>
      <c r="AA74"/>
      <c r="AB74"/>
    </row>
    <row r="75" spans="1:28" ht="11.25" customHeight="1">
      <c r="H75" s="1297">
        <v>0.04</v>
      </c>
      <c r="I75" s="236"/>
      <c r="Q75" s="4946">
        <v>3500000</v>
      </c>
      <c r="R75" s="4946"/>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20">
        <v>0.15</v>
      </c>
      <c r="R79" s="4921"/>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1">
        <v>0.02</v>
      </c>
      <c r="R98" s="4911"/>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7">
        <v>1225000</v>
      </c>
      <c r="R107" s="493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8">
        <v>1105000</v>
      </c>
      <c r="R108" s="493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2">
        <v>1225000</v>
      </c>
      <c r="R109" s="4912"/>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2">
        <v>1105000</v>
      </c>
      <c r="R110" s="4912"/>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0">
        <v>1105000</v>
      </c>
      <c r="R111" s="494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4">
        <v>1150000</v>
      </c>
      <c r="R112" s="493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4" t="s">
        <v>6760</v>
      </c>
      <c r="R113" s="4954"/>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39">
        <v>1105000</v>
      </c>
      <c r="R114" s="4939"/>
    </row>
    <row r="115" spans="1:28" ht="11.25" customHeight="1">
      <c r="G115" s="147"/>
      <c r="H115" s="147" t="s">
        <v>6100</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5"/>
      <c r="R118" s="493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9">
        <v>4000000</v>
      </c>
      <c r="R119" s="4969"/>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6756</v>
      </c>
      <c r="B125" s="4970"/>
      <c r="C125" s="2002"/>
      <c r="D125" s="4972"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0"/>
      <c r="B126" s="4970"/>
      <c r="C126" s="2001">
        <v>2022</v>
      </c>
      <c r="D126" s="4973"/>
      <c r="E126" s="239"/>
      <c r="F126" s="239"/>
      <c r="G126" s="239"/>
      <c r="H126" s="239"/>
      <c r="I126" s="239"/>
    </row>
    <row r="127" spans="1:28" ht="13.5">
      <c r="A127" s="4970"/>
      <c r="B127" s="4970"/>
      <c r="C127" s="147"/>
      <c r="D127" s="4973"/>
      <c r="H127" s="4967" t="s">
        <v>6754</v>
      </c>
      <c r="J127" s="142" t="s">
        <v>748</v>
      </c>
      <c r="K127" s="142"/>
      <c r="L127" s="223"/>
    </row>
    <row r="128" spans="1:28" ht="13.5">
      <c r="C128" s="715" t="s">
        <v>751</v>
      </c>
      <c r="D128" s="1304" t="s">
        <v>2995</v>
      </c>
      <c r="F128" s="715" t="s">
        <v>6752</v>
      </c>
      <c r="H128" s="4968"/>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70" t="s">
        <v>3401</v>
      </c>
      <c r="E137" s="236"/>
      <c r="F137" s="236"/>
    </row>
    <row r="138" spans="2:37" ht="10.5" customHeight="1">
      <c r="C138" s="3370"/>
      <c r="E138" s="236"/>
      <c r="F138" s="236"/>
    </row>
    <row r="139" spans="2:37" ht="10.5" customHeight="1">
      <c r="C139" s="337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4057</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Nashville, Windsor Crossing,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1080000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2023PA-006</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Piedmont Housing Group II, LLC</v>
      </c>
      <c r="G14" s="1819"/>
      <c r="H14" s="1819"/>
      <c r="I14" s="1819" t="s">
        <v>1670</v>
      </c>
      <c r="J14" s="1819" t="str">
        <f>'Part I-Project Identification'!J15</f>
        <v>Josh Thomason</v>
      </c>
      <c r="K14" s="1819"/>
      <c r="L14" s="1819"/>
      <c r="M14" s="2623" t="s">
        <v>1839</v>
      </c>
      <c r="N14" s="1819" t="str">
        <f>'Part I-Project Identification'!N15</f>
        <v>Managing Member</v>
      </c>
      <c r="O14" s="1819"/>
      <c r="P14" s="1819"/>
    </row>
    <row r="15" spans="1:26" s="1819" customFormat="1" ht="12.75" customHeight="1">
      <c r="B15" s="2623" t="s">
        <v>1599</v>
      </c>
      <c r="F15" s="2628">
        <f>'Part I-Project Identification'!F16</f>
        <v>4042021357</v>
      </c>
      <c r="G15" s="2628"/>
      <c r="H15" s="2628"/>
      <c r="I15" s="2623" t="s">
        <v>1598</v>
      </c>
      <c r="J15" s="2629">
        <f>'Part I-Project Identification'!J16</f>
        <v>0</v>
      </c>
      <c r="M15" s="2623" t="s">
        <v>1600</v>
      </c>
      <c r="N15" s="2628">
        <f>'Part I-Project Identification'!N16</f>
        <v>4042021357</v>
      </c>
      <c r="O15" s="2628"/>
      <c r="P15" s="2628"/>
      <c r="Q15" s="357"/>
      <c r="R15" s="357"/>
      <c r="S15" s="357"/>
      <c r="V15" s="2630"/>
      <c r="W15" s="2630"/>
      <c r="X15" s="2630"/>
      <c r="Z15" s="1622">
        <v>18</v>
      </c>
    </row>
    <row r="16" spans="1:26" s="1819" customFormat="1">
      <c r="B16" s="2623" t="s">
        <v>1842</v>
      </c>
      <c r="F16" s="2631" t="str">
        <f>'Part I-Project Identification'!F17</f>
        <v>josh@piedmonthousinggroup.com</v>
      </c>
      <c r="G16" s="2631"/>
      <c r="H16" s="2631"/>
      <c r="I16" s="2631"/>
      <c r="J16" s="2631"/>
      <c r="K16" s="2631"/>
      <c r="L16" s="2631"/>
      <c r="M16" s="2623" t="s">
        <v>1838</v>
      </c>
      <c r="N16" s="2628">
        <f>'Part I-Project Identification'!N17</f>
        <v>4042021357</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Piedmont Housing Group II, LLC</v>
      </c>
      <c r="G18" s="1819"/>
      <c r="H18" s="1819"/>
      <c r="I18" s="1819" t="s">
        <v>1670</v>
      </c>
      <c r="J18" s="1819" t="str">
        <f>'Part I-Project Identification'!J19</f>
        <v>Scott Nelson</v>
      </c>
      <c r="K18" s="1819"/>
      <c r="L18" s="1819"/>
      <c r="M18" s="2623" t="s">
        <v>1839</v>
      </c>
      <c r="N18" s="1819" t="str">
        <f>'Part I-Project Identification'!N19</f>
        <v>Managing Member</v>
      </c>
      <c r="O18" s="1819"/>
      <c r="P18" s="1819"/>
    </row>
    <row r="19" spans="1:26" s="1819" customFormat="1" ht="12.75" customHeight="1">
      <c r="B19" s="2623" t="s">
        <v>1599</v>
      </c>
      <c r="F19" s="2628">
        <f>'Part I-Project Identification'!F20</f>
        <v>2052402851</v>
      </c>
      <c r="G19" s="2628"/>
      <c r="H19" s="2628"/>
      <c r="I19" s="2623" t="s">
        <v>1598</v>
      </c>
      <c r="J19" s="2629">
        <f>'Part I-Project Identification'!J20</f>
        <v>0</v>
      </c>
      <c r="M19" s="2623" t="s">
        <v>1600</v>
      </c>
      <c r="N19" s="2628">
        <f>'Part I-Project Identification'!N20</f>
        <v>2052402851</v>
      </c>
      <c r="O19" s="2628"/>
      <c r="P19" s="2628"/>
      <c r="Q19" s="357"/>
      <c r="R19" s="357"/>
      <c r="S19" s="357"/>
      <c r="V19" s="2630"/>
      <c r="W19" s="2630"/>
      <c r="X19" s="2630"/>
      <c r="Z19" s="1622">
        <v>18</v>
      </c>
    </row>
    <row r="20" spans="1:26" s="1819" customFormat="1">
      <c r="B20" s="2623" t="s">
        <v>1842</v>
      </c>
      <c r="F20" s="2631" t="str">
        <f>'Part I-Project Identification'!F21</f>
        <v>scott@piedmonthousinggroup.com</v>
      </c>
      <c r="G20" s="2631"/>
      <c r="H20" s="2631"/>
      <c r="I20" s="2631"/>
      <c r="J20" s="2631"/>
      <c r="K20" s="2631"/>
      <c r="L20" s="2631"/>
      <c r="M20" s="2623" t="s">
        <v>1838</v>
      </c>
      <c r="N20" s="2628">
        <f>'Part I-Project Identification'!N21</f>
        <v>2052402851</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Windsor Crossing</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Nashville</v>
      </c>
      <c r="G25" s="1819"/>
      <c r="H25" s="1819"/>
      <c r="I25" s="2632" t="s">
        <v>576</v>
      </c>
      <c r="J25" s="1819" t="str">
        <f>'Part I-Project Identification'!J26</f>
        <v>Berrien</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36</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Berrien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Windsor Crossing, Nashville, Berrien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Yes</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51">
      <c r="A65" s="1819"/>
      <c r="B65" s="1819" t="s">
        <v>1486</v>
      </c>
      <c r="C65" s="1819"/>
      <c r="D65" s="1819"/>
      <c r="E65" s="1819"/>
      <c r="F65" s="1819"/>
      <c r="G65" s="1819"/>
      <c r="H65" s="2645" t="str">
        <f>'Part II-Sources of Funds'!H22</f>
        <v>Central Bank of Kansas City 1</v>
      </c>
      <c r="I65" s="2645"/>
      <c r="J65" s="2645"/>
      <c r="K65" s="2645"/>
      <c r="L65" s="2547">
        <f>'Part II-Sources of Funds'!L22</f>
        <v>10109757</v>
      </c>
      <c r="M65" s="2547"/>
      <c r="N65" s="2548">
        <f>'Part II-Sources of Funds'!N22</f>
        <v>0.08</v>
      </c>
      <c r="O65" s="2548"/>
      <c r="P65" s="2549">
        <f>'Part II-Sources of Funds'!P22</f>
        <v>24</v>
      </c>
      <c r="Q65" s="2549"/>
    </row>
    <row r="66" spans="1:17" ht="51">
      <c r="A66" s="1819"/>
      <c r="B66" s="1819" t="s">
        <v>1487</v>
      </c>
      <c r="C66" s="1819"/>
      <c r="D66" s="1819"/>
      <c r="E66" s="1819"/>
      <c r="F66" s="1819"/>
      <c r="G66" s="1819"/>
      <c r="H66" s="2645" t="str">
        <f>'Part II-Sources of Funds'!H23</f>
        <v>Central Bank of Kansas City 2</v>
      </c>
      <c r="I66" s="2645"/>
      <c r="J66" s="2645"/>
      <c r="K66" s="2645"/>
      <c r="L66" s="2547">
        <f>'Part II-Sources of Funds'!L23</f>
        <v>900000</v>
      </c>
      <c r="M66" s="2547"/>
      <c r="N66" s="2548">
        <f>'Part II-Sources of Funds'!N23</f>
        <v>3.6600000000000001E-2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Affordable Equity Partners</v>
      </c>
      <c r="I71" s="2645"/>
      <c r="J71" s="2645"/>
      <c r="K71" s="2645"/>
      <c r="L71" s="2547">
        <f>'Part II-Sources of Funds'!L28</f>
        <v>1857414.2000000002</v>
      </c>
      <c r="M71" s="2547"/>
      <c r="N71" s="1819"/>
      <c r="O71" s="2641"/>
      <c r="P71" s="2641"/>
      <c r="Q71" s="1819"/>
    </row>
    <row r="72" spans="1:17" ht="38.25">
      <c r="A72" s="1819"/>
      <c r="B72" s="1819" t="s">
        <v>747</v>
      </c>
      <c r="C72" s="1819"/>
      <c r="D72" s="1819"/>
      <c r="E72" s="1819"/>
      <c r="F72" s="2641"/>
      <c r="G72" s="2641"/>
      <c r="H72" s="2645" t="str">
        <f>'Part II-Sources of Funds'!H29</f>
        <v>Affordable Equity Partners</v>
      </c>
      <c r="I72" s="2645"/>
      <c r="J72" s="2645"/>
      <c r="K72" s="2645"/>
      <c r="L72" s="2547">
        <f>'Part II-Sources of Funds'!L29</f>
        <v>889831</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13757002.199999999</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13757002.182497175</v>
      </c>
      <c r="M77" s="2550"/>
      <c r="N77" s="2646"/>
      <c r="O77" s="2641"/>
      <c r="P77" s="2641"/>
      <c r="Q77" s="2641"/>
    </row>
    <row r="78" spans="1:17" ht="13.5">
      <c r="A78" s="1819"/>
      <c r="B78" s="2623" t="s">
        <v>2002</v>
      </c>
      <c r="C78" s="1819"/>
      <c r="D78" s="1819"/>
      <c r="E78" s="1819"/>
      <c r="F78" s="1819"/>
      <c r="G78" s="1819"/>
      <c r="H78" s="1819"/>
      <c r="I78" s="1819"/>
      <c r="J78" s="2641"/>
      <c r="K78" s="2641"/>
      <c r="L78" s="2647">
        <f>L76-L77</f>
        <v>1.750282384455204E-2</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38.25">
      <c r="A83" s="1819"/>
      <c r="B83" s="1819" t="s">
        <v>2402</v>
      </c>
      <c r="C83" s="1819"/>
      <c r="D83" s="1819"/>
      <c r="E83" s="2645" t="str">
        <f>'Part II-Sources of Funds'!E40</f>
        <v>Central Bank of Kansas City</v>
      </c>
      <c r="F83" s="2645"/>
      <c r="G83" s="2645"/>
      <c r="H83" s="2645"/>
      <c r="I83" s="2648">
        <f>'Part II-Sources of Funds'!I40</f>
        <v>900000</v>
      </c>
      <c r="J83" s="1819"/>
      <c r="K83" s="2649">
        <f>'Part II-Sources of Funds'!K40</f>
        <v>3.6600000000000001E-2</v>
      </c>
      <c r="L83" s="1622">
        <f>'Part II-Sources of Funds'!L40</f>
        <v>10</v>
      </c>
      <c r="M83" s="1622">
        <f>'Part II-Sources of Funds'!M40</f>
        <v>25</v>
      </c>
      <c r="N83" s="1819" t="str">
        <f>'Part II-Sources of Funds'!N40</f>
        <v>Amortizing</v>
      </c>
      <c r="O83" s="1819"/>
      <c r="P83" s="2551">
        <f>'Part II-Sources of Funds'!P40</f>
        <v>54998.516249654567</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4.6198347107438012E-3</v>
      </c>
      <c r="E88" s="2645" t="str">
        <f>'Part II-Sources of Funds'!E45</f>
        <v>Piedmont Housnig Group II, LLC</v>
      </c>
      <c r="F88" s="2645"/>
      <c r="G88" s="2645"/>
      <c r="H88" s="2645"/>
      <c r="I88" s="2648">
        <f>'Part II-Sources of Funds'!I45</f>
        <v>5590</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175786.77014490319</v>
      </c>
      <c r="G90" s="2641"/>
      <c r="H90" s="2654" t="s">
        <v>3404</v>
      </c>
      <c r="I90" s="2653">
        <f>'Part II-Sources of Funds'!I47</f>
        <v>5590</v>
      </c>
      <c r="J90" s="2641"/>
      <c r="K90" s="2654" t="s">
        <v>3406</v>
      </c>
      <c r="L90" s="2655">
        <f>'Part II-Sources of Funds'!L47</f>
        <v>3.1799890261321115E-2</v>
      </c>
      <c r="M90" s="2655"/>
      <c r="N90" s="2551" t="s">
        <v>3847</v>
      </c>
      <c r="O90" s="2551"/>
      <c r="P90" s="1820">
        <f>'Part II-Sources of Funds'!P47</f>
        <v>0.1824971754103899</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Affordable Equity Partners</v>
      </c>
      <c r="F94" s="2645"/>
      <c r="G94" s="2645"/>
      <c r="H94" s="2645"/>
      <c r="I94" s="2648">
        <f>'Part II-Sources of Funds'!I51</f>
        <v>9287071</v>
      </c>
      <c r="J94" s="1819"/>
      <c r="K94" s="2641"/>
      <c r="L94" s="2659">
        <f>'Part II-Sources of Funds'!L51</f>
        <v>9288000</v>
      </c>
      <c r="M94" s="2659"/>
      <c r="N94" s="2660">
        <f>I94-L94</f>
        <v>-929</v>
      </c>
      <c r="O94" s="2660"/>
      <c r="P94" s="2661">
        <f>I94/I104</f>
        <v>0.63428408636230271</v>
      </c>
      <c r="Q94" s="1819"/>
    </row>
    <row r="95" spans="1:17" ht="38.25">
      <c r="A95" s="1819"/>
      <c r="B95" s="1819" t="s">
        <v>747</v>
      </c>
      <c r="C95" s="1819"/>
      <c r="D95" s="1819"/>
      <c r="E95" s="2645" t="str">
        <f>'Part II-Sources of Funds'!E52</f>
        <v>Affordable Equity Partners</v>
      </c>
      <c r="F95" s="2645"/>
      <c r="G95" s="2645"/>
      <c r="H95" s="2645"/>
      <c r="I95" s="2648">
        <f>'Part II-Sources of Funds'!I52</f>
        <v>4449155</v>
      </c>
      <c r="J95" s="1819"/>
      <c r="K95" s="2641"/>
      <c r="L95" s="2659">
        <f>'Part II-Sources of Funds'!L52</f>
        <v>4449600</v>
      </c>
      <c r="M95" s="2659"/>
      <c r="N95" s="2660">
        <f>I95-L95</f>
        <v>-445</v>
      </c>
      <c r="O95" s="2660"/>
      <c r="P95" s="2661">
        <f>I95/I104</f>
        <v>0.30386633355761694</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0.93815041991991965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14641816</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14641816.182497175</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-0.1824971754103899</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5">
      <c r="A109" s="2639" t="str">
        <f>'Part II-Sources of Funds'!A66</f>
        <v>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Windsor Crossing,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15000</v>
      </c>
      <c r="H122" s="2547"/>
      <c r="I122" s="1819"/>
      <c r="J122" s="2547">
        <f>'Part III-A-Uses of Funds'!J9</f>
        <v>15000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9000</v>
      </c>
      <c r="H123" s="2547"/>
      <c r="I123" s="1819"/>
      <c r="J123" s="2547">
        <f>'Part III-A-Uses of Funds'!J10</f>
        <v>9000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15000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12500</v>
      </c>
      <c r="H125" s="2547"/>
      <c r="I125" s="1819"/>
      <c r="J125" s="2547">
        <f>'Part III-A-Uses of Funds'!J12</f>
        <v>12500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25000</v>
      </c>
      <c r="H126" s="2547"/>
      <c r="I126" s="1819"/>
      <c r="J126" s="2547">
        <f>'Part III-A-Uses of Funds'!J13</f>
        <v>25000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Easement for Access and Utilities</v>
      </c>
      <c r="D128" s="2667"/>
      <c r="E128" s="2667"/>
      <c r="F128" s="2667"/>
      <c r="G128" s="2547">
        <f>'Part III-A-Uses of Funds'!G15</f>
        <v>30000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30000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106500</v>
      </c>
      <c r="H131" s="2547"/>
      <c r="I131" s="1819"/>
      <c r="J131" s="2547">
        <f>SUM(J122:J130)</f>
        <v>76500</v>
      </c>
      <c r="K131" s="2547"/>
      <c r="L131" s="2545"/>
      <c r="M131" s="2547">
        <f>SUM(M122:M130)</f>
        <v>0</v>
      </c>
      <c r="N131" s="2547"/>
      <c r="O131" s="1819"/>
      <c r="P131" s="2547">
        <f>SUM(P122:P130)</f>
        <v>0</v>
      </c>
      <c r="Q131" s="2547"/>
      <c r="R131" s="1819"/>
      <c r="S131" s="2547">
        <f>SUM(S122:S130)</f>
        <v>30000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15500</v>
      </c>
      <c r="G133" s="2547">
        <f>'Part III-A-Uses of Funds'!G20</f>
        <v>558000</v>
      </c>
      <c r="H133" s="2547"/>
      <c r="I133" s="1819"/>
      <c r="J133" s="2545"/>
      <c r="K133" s="2547"/>
      <c r="L133" s="2545"/>
      <c r="M133" s="2545"/>
      <c r="N133" s="2547"/>
      <c r="O133" s="1819"/>
      <c r="P133" s="2545"/>
      <c r="Q133" s="2547"/>
      <c r="R133" s="1819"/>
      <c r="S133" s="2547">
        <f>'Part III-A-Uses of Funds'!S20</f>
        <v>558000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558000</v>
      </c>
      <c r="H137" s="2547"/>
      <c r="I137" s="1819"/>
      <c r="J137" s="2545"/>
      <c r="K137" s="2547"/>
      <c r="L137" s="2545"/>
      <c r="M137" s="2547">
        <f>SUM(M135:M136)</f>
        <v>0</v>
      </c>
      <c r="N137" s="2547"/>
      <c r="O137" s="1819"/>
      <c r="P137" s="2545"/>
      <c r="Q137" s="2547"/>
      <c r="R137" s="1819"/>
      <c r="S137" s="2547">
        <f>SUM(S133:S136)</f>
        <v>558000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53954.444444444445</v>
      </c>
      <c r="G139" s="2547">
        <f>'Part III-A-Uses of Funds'!G26</f>
        <v>1942360</v>
      </c>
      <c r="H139" s="2547"/>
      <c r="I139" s="1819"/>
      <c r="J139" s="2547">
        <f>'Part III-A-Uses of Funds'!J26</f>
        <v>1807651</v>
      </c>
      <c r="K139" s="2547"/>
      <c r="L139" s="2545"/>
      <c r="M139" s="2547">
        <f>'Part III-A-Uses of Funds'!M26</f>
        <v>0</v>
      </c>
      <c r="N139" s="2547"/>
      <c r="O139" s="1819"/>
      <c r="P139" s="2547">
        <f>'Part III-A-Uses of Funds'!P26</f>
        <v>0</v>
      </c>
      <c r="Q139" s="2547"/>
      <c r="R139" s="1819"/>
      <c r="S139" s="2547">
        <f>'Part III-A-Uses of Funds'!S26</f>
        <v>134709</v>
      </c>
      <c r="T139" s="2547"/>
      <c r="U139" s="1819"/>
      <c r="V139" s="2665"/>
    </row>
    <row r="140" spans="1:22">
      <c r="A140" s="1819"/>
      <c r="B140" s="1819" t="s">
        <v>1057</v>
      </c>
      <c r="C140" s="1819"/>
      <c r="D140" s="1819"/>
      <c r="E140" s="1819"/>
      <c r="F140" s="1819"/>
      <c r="G140" s="2547">
        <f>'Part III-A-Uses of Funds'!G27</f>
        <v>54000</v>
      </c>
      <c r="H140" s="2547"/>
      <c r="I140" s="1819"/>
      <c r="J140" s="2547">
        <f>'Part III-A-Uses of Funds'!J27</f>
        <v>0</v>
      </c>
      <c r="K140" s="2547"/>
      <c r="L140" s="2555"/>
      <c r="M140" s="2547"/>
      <c r="N140" s="2547"/>
      <c r="O140" s="1819"/>
      <c r="P140" s="2547"/>
      <c r="Q140" s="2547"/>
      <c r="R140" s="1819"/>
      <c r="S140" s="2547">
        <f>'Part III-A-Uses of Funds'!S27</f>
        <v>54000</v>
      </c>
      <c r="T140" s="2547"/>
      <c r="U140" s="1819"/>
      <c r="V140" s="2665"/>
    </row>
    <row r="141" spans="1:22">
      <c r="A141" s="1819"/>
      <c r="B141" s="1819"/>
      <c r="C141" s="1819"/>
      <c r="D141" s="1819"/>
      <c r="E141" s="1819"/>
      <c r="F141" s="2669" t="s">
        <v>184</v>
      </c>
      <c r="G141" s="2547">
        <f>SUM(G139:G140)</f>
        <v>1996360</v>
      </c>
      <c r="H141" s="2547"/>
      <c r="I141" s="1819"/>
      <c r="J141" s="2547">
        <f>SUM(J139:J140)</f>
        <v>1807651</v>
      </c>
      <c r="K141" s="2547"/>
      <c r="L141" s="2545"/>
      <c r="M141" s="2547">
        <f>M139</f>
        <v>0</v>
      </c>
      <c r="N141" s="2547"/>
      <c r="O141" s="1819"/>
      <c r="P141" s="2547">
        <f>P139</f>
        <v>0</v>
      </c>
      <c r="Q141" s="2547"/>
      <c r="R141" s="1819"/>
      <c r="S141" s="2547">
        <f>SUM(S139:S140)</f>
        <v>188709</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6903638</v>
      </c>
      <c r="H143" s="2547"/>
      <c r="I143" s="1819"/>
      <c r="J143" s="2547">
        <f>'Part III-A-Uses of Funds'!J30</f>
        <v>6903638</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343000</v>
      </c>
      <c r="H145" s="2547"/>
      <c r="I145" s="1819"/>
      <c r="J145" s="2547">
        <f>'Part III-A-Uses of Funds'!J32</f>
        <v>343000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7246638</v>
      </c>
      <c r="H149" s="2547"/>
      <c r="I149" s="1819"/>
      <c r="J149" s="2547">
        <f>SUM(J143:J148)</f>
        <v>7246638</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554579</v>
      </c>
      <c r="F151" s="2676">
        <f>IF(($G$24+$G$32)=0,0,G151/($G$24+$G$32))</f>
        <v>0</v>
      </c>
      <c r="G151" s="2547">
        <f>'Part III-A-Uses of Funds'!G38</f>
        <v>554579</v>
      </c>
      <c r="H151" s="2547"/>
      <c r="I151" s="1819"/>
      <c r="J151" s="2547">
        <f>'Part III-A-Uses of Funds'!J38</f>
        <v>554579</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184859</v>
      </c>
      <c r="F152" s="2676">
        <f>IF(($G$24+$G$32)=0,0,G152/($G$24+$G$32))</f>
        <v>0</v>
      </c>
      <c r="G152" s="2547">
        <f>'Part III-A-Uses of Funds'!G39</f>
        <v>184859</v>
      </c>
      <c r="H152" s="2547"/>
      <c r="I152" s="378"/>
      <c r="J152" s="2547">
        <f>'Part III-A-Uses of Funds'!J39</f>
        <v>184859</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554579</v>
      </c>
      <c r="F153" s="2676">
        <f>IF(($G$24+$G$32)=0,0,G153/($G$24+$G$32))</f>
        <v>0</v>
      </c>
      <c r="G153" s="2547">
        <f>'Part III-A-Uses of Funds'!G40</f>
        <v>554579</v>
      </c>
      <c r="H153" s="2547"/>
      <c r="I153" s="378"/>
      <c r="J153" s="2547">
        <f>'Part III-A-Uses of Funds'!J40</f>
        <v>554579</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1294017</v>
      </c>
      <c r="F154" s="2669" t="s">
        <v>184</v>
      </c>
      <c r="G154" s="2547">
        <f>SUM(G151:G153)</f>
        <v>1294017</v>
      </c>
      <c r="H154" s="2547"/>
      <c r="I154" s="1819"/>
      <c r="J154" s="2547">
        <f>SUM(J151:J153)</f>
        <v>1294017</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10537015</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239477.61363636365</v>
      </c>
      <c r="G161" s="2682" t="s">
        <v>6955</v>
      </c>
      <c r="H161" s="1819"/>
      <c r="I161" s="1819"/>
      <c r="J161" s="2558">
        <f>C162/'Part V-Revenues &amp; Expenses'!$P$67</f>
        <v>239477.61363636365</v>
      </c>
      <c r="K161" s="2558"/>
      <c r="L161" s="1819"/>
      <c r="M161" s="2683" t="s">
        <v>6475</v>
      </c>
      <c r="N161" s="2683"/>
      <c r="O161" s="1819"/>
      <c r="P161" s="2558">
        <f>C162/'Part V-Revenues &amp; Expenses'!$K$175</f>
        <v>227.41431777960028</v>
      </c>
      <c r="Q161" s="2558"/>
      <c r="R161" s="1819"/>
      <c r="S161" s="2684" t="s">
        <v>6477</v>
      </c>
      <c r="T161" s="2684"/>
      <c r="U161" s="1819"/>
      <c r="V161" s="2665"/>
    </row>
    <row r="162" spans="1:22" ht="13.5">
      <c r="A162" s="1819"/>
      <c r="B162" s="2685" t="s">
        <v>6488</v>
      </c>
      <c r="C162" s="2686">
        <f>G141+G149+G154+G159</f>
        <v>10537015</v>
      </c>
      <c r="D162" s="1819"/>
      <c r="E162" s="2616"/>
      <c r="F162" s="2557">
        <f>C162/'Part V-Revenues &amp; Expenses'!$P$166</f>
        <v>238.75050981103004</v>
      </c>
      <c r="G162" s="2684" t="s">
        <v>6956</v>
      </c>
      <c r="H162" s="1819"/>
      <c r="I162" s="1819"/>
      <c r="J162" s="2558">
        <f>C162/'Part V-Revenues &amp; Expenses'!$P$168</f>
        <v>238.75050981103004</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526850.75</v>
      </c>
      <c r="F168" s="2650">
        <f>G168/C162</f>
        <v>4.9999928822346745E-2</v>
      </c>
      <c r="G168" s="2547">
        <f>'Part III-A-Uses of Funds'!G55</f>
        <v>526850</v>
      </c>
      <c r="H168" s="2547"/>
      <c r="I168" s="1819"/>
      <c r="J168" s="2547">
        <f>'Part III-A-Uses of Funds'!J55</f>
        <v>526850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251451.47727272726</v>
      </c>
      <c r="G170" s="2682" t="s">
        <v>6955</v>
      </c>
      <c r="H170" s="1819"/>
      <c r="I170" s="1819"/>
      <c r="J170" s="2558">
        <f>B171/'Part V-Revenues &amp; Expenses'!$P$67</f>
        <v>251451.47727272726</v>
      </c>
      <c r="K170" s="2558"/>
      <c r="L170" s="1819"/>
      <c r="M170" s="2683" t="s">
        <v>6475</v>
      </c>
      <c r="N170" s="2683"/>
      <c r="O170" s="1819"/>
      <c r="P170" s="2558">
        <f>B171/'Part V-Revenues &amp; Expenses'!$K$175</f>
        <v>238.78501748176285</v>
      </c>
      <c r="Q170" s="2558"/>
      <c r="R170" s="1819"/>
      <c r="S170" s="2684" t="s">
        <v>6477</v>
      </c>
      <c r="T170" s="2684"/>
      <c r="U170" s="1819"/>
      <c r="V170" s="2665"/>
    </row>
    <row r="171" spans="1:22">
      <c r="A171" s="1819"/>
      <c r="B171" s="2686">
        <f>C162+G168</f>
        <v>11063865</v>
      </c>
      <c r="C171" s="2686"/>
      <c r="D171" s="1819"/>
      <c r="E171" s="2616"/>
      <c r="F171" s="2557">
        <f>B171/'Part V-Revenues &amp; Expenses'!$P$166</f>
        <v>250.68801830788055</v>
      </c>
      <c r="G171" s="2684" t="s">
        <v>6956</v>
      </c>
      <c r="H171" s="1819"/>
      <c r="I171" s="1819"/>
      <c r="J171" s="2558">
        <f>B171/'Part V-Revenues &amp; Expenses'!$P$168</f>
        <v>250.68801830788055</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111000</v>
      </c>
      <c r="H176" s="2547"/>
      <c r="I176" s="1819"/>
      <c r="J176" s="2547">
        <f>'Part III-A-Uses of Funds'!J63</f>
        <v>55500</v>
      </c>
      <c r="K176" s="2547"/>
      <c r="L176" s="2545"/>
      <c r="M176" s="2547">
        <f>'Part III-A-Uses of Funds'!M63</f>
        <v>0</v>
      </c>
      <c r="N176" s="2547"/>
      <c r="O176" s="1819"/>
      <c r="P176" s="2547">
        <f>'Part III-A-Uses of Funds'!P63</f>
        <v>0</v>
      </c>
      <c r="Q176" s="2547"/>
      <c r="R176" s="1819"/>
      <c r="S176" s="2547">
        <f>'Part III-A-Uses of Funds'!S63</f>
        <v>55500</v>
      </c>
      <c r="T176" s="2547"/>
      <c r="U176" s="1819"/>
      <c r="V176" s="2665"/>
    </row>
    <row r="177" spans="1:22">
      <c r="A177" s="1819"/>
      <c r="B177" s="1819" t="s">
        <v>2167</v>
      </c>
      <c r="C177" s="1819"/>
      <c r="D177" s="1819"/>
      <c r="E177" s="1819"/>
      <c r="F177" s="1819"/>
      <c r="G177" s="2547">
        <f>'Part III-A-Uses of Funds'!G64</f>
        <v>488570.18249717611</v>
      </c>
      <c r="H177" s="2547"/>
      <c r="I177" s="1819"/>
      <c r="J177" s="2547">
        <f>'Part III-A-Uses of Funds'!J64</f>
        <v>488570.18249717611</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60000</v>
      </c>
      <c r="H178" s="2547"/>
      <c r="I178" s="1819"/>
      <c r="J178" s="2547">
        <f>'Part III-A-Uses of Funds'!J65</f>
        <v>60000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30000</v>
      </c>
      <c r="H179" s="2547"/>
      <c r="I179" s="1819"/>
      <c r="J179" s="2547">
        <f>'Part III-A-Uses of Funds'!J66</f>
        <v>30000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6500</v>
      </c>
      <c r="H180" s="2547"/>
      <c r="I180" s="1819"/>
      <c r="J180" s="2547">
        <f>'Part III-A-Uses of Funds'!J67</f>
        <v>6500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25000</v>
      </c>
      <c r="H181" s="2547"/>
      <c r="I181" s="1819"/>
      <c r="J181" s="2547">
        <f>'Part III-A-Uses of Funds'!J68</f>
        <v>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38500</v>
      </c>
      <c r="H182" s="2547"/>
      <c r="I182" s="1819"/>
      <c r="J182" s="2547">
        <f>'Part III-A-Uses of Funds'!J69</f>
        <v>38500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759570.18249717611</v>
      </c>
      <c r="H186" s="2547"/>
      <c r="I186" s="1819"/>
      <c r="J186" s="2547">
        <f>SUM(J174:J185)</f>
        <v>704070.18249717611</v>
      </c>
      <c r="K186" s="2547"/>
      <c r="L186" s="2545"/>
      <c r="M186" s="2547">
        <f>SUM(M174:M185)</f>
        <v>0</v>
      </c>
      <c r="N186" s="2547"/>
      <c r="O186" s="1819"/>
      <c r="P186" s="2547">
        <f>SUM(P174:P185)</f>
        <v>0</v>
      </c>
      <c r="Q186" s="2547"/>
      <c r="R186" s="1819"/>
      <c r="S186" s="2547">
        <f>SUM(S174:S185)</f>
        <v>55500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147400</v>
      </c>
      <c r="H188" s="2547"/>
      <c r="I188" s="1819"/>
      <c r="J188" s="2547">
        <f>'Part III-A-Uses of Funds'!J75</f>
        <v>147400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22000</v>
      </c>
      <c r="H189" s="2547"/>
      <c r="I189" s="1819"/>
      <c r="J189" s="2547">
        <f>'Part III-A-Uses of Funds'!J76</f>
        <v>22000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30000</v>
      </c>
      <c r="H190" s="2547"/>
      <c r="I190" s="1819"/>
      <c r="J190" s="2547">
        <f>'Part III-A-Uses of Funds'!J77</f>
        <v>30000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6000</v>
      </c>
      <c r="H191" s="2547"/>
      <c r="I191" s="1819"/>
      <c r="J191" s="2547">
        <f>'Part III-A-Uses of Funds'!J78</f>
        <v>6000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36000</v>
      </c>
      <c r="H193" s="2547"/>
      <c r="I193" s="1819"/>
      <c r="J193" s="2547">
        <f>'Part III-A-Uses of Funds'!J80</f>
        <v>36000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105000</v>
      </c>
      <c r="H194" s="2547"/>
      <c r="I194" s="1819"/>
      <c r="J194" s="2547">
        <f>'Part III-A-Uses of Funds'!J81</f>
        <v>105000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25000</v>
      </c>
      <c r="H195" s="2547"/>
      <c r="I195" s="1819"/>
      <c r="J195" s="2547">
        <f>'Part III-A-Uses of Funds'!J82</f>
        <v>13000</v>
      </c>
      <c r="K195" s="2547"/>
      <c r="L195" s="2545"/>
      <c r="M195" s="2547">
        <f>'Part III-A-Uses of Funds'!M82</f>
        <v>0</v>
      </c>
      <c r="N195" s="2547"/>
      <c r="O195" s="1819"/>
      <c r="P195" s="2547">
        <f>'Part III-A-Uses of Funds'!P82</f>
        <v>0</v>
      </c>
      <c r="Q195" s="2547"/>
      <c r="R195" s="1819"/>
      <c r="S195" s="2547">
        <f>'Part III-A-Uses of Funds'!S82</f>
        <v>12000</v>
      </c>
      <c r="T195" s="2547"/>
      <c r="U195" s="1819"/>
      <c r="V195" s="2665"/>
    </row>
    <row r="196" spans="1:22">
      <c r="A196" s="1819"/>
      <c r="B196" s="1819" t="s">
        <v>1899</v>
      </c>
      <c r="C196" s="1819"/>
      <c r="D196" s="1819"/>
      <c r="E196" s="1819"/>
      <c r="F196" s="1819"/>
      <c r="G196" s="2547">
        <f>'Part III-A-Uses of Funds'!G83</f>
        <v>33800</v>
      </c>
      <c r="H196" s="2547"/>
      <c r="I196" s="1819"/>
      <c r="J196" s="2547">
        <f>'Part III-A-Uses of Funds'!J83</f>
        <v>33800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5000</v>
      </c>
      <c r="H197" s="2547"/>
      <c r="I197" s="1819"/>
      <c r="J197" s="2547">
        <f>'Part III-A-Uses of Funds'!J84</f>
        <v>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425200</v>
      </c>
      <c r="H199" s="2547"/>
      <c r="I199" s="1819"/>
      <c r="J199" s="2547">
        <f>SUM(J188:J198)</f>
        <v>413200</v>
      </c>
      <c r="K199" s="2547"/>
      <c r="L199" s="2545"/>
      <c r="M199" s="2547">
        <f>SUM(M188:M198)</f>
        <v>0</v>
      </c>
      <c r="N199" s="2547"/>
      <c r="O199" s="1819"/>
      <c r="P199" s="2547">
        <f>SUM(P188:P198)</f>
        <v>0</v>
      </c>
      <c r="Q199" s="2547"/>
      <c r="R199" s="1819"/>
      <c r="S199" s="2547">
        <f>SUM(S188:S198)</f>
        <v>12000</v>
      </c>
      <c r="T199" s="2547"/>
      <c r="U199" s="1819"/>
      <c r="V199" s="2665">
        <f>SUM(V188:V198)</f>
        <v>0</v>
      </c>
    </row>
    <row r="200" spans="1:22">
      <c r="A200" s="1819"/>
      <c r="B200" s="2614" t="s">
        <v>1193</v>
      </c>
      <c r="C200" s="1819"/>
      <c r="D200" s="2692" t="s">
        <v>3228</v>
      </c>
      <c r="E200" s="2693">
        <f>G205/'Part V-Revenues &amp; Expenses'!$P$67</f>
        <v>1010.6136363636364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18867</v>
      </c>
      <c r="H201" s="2547"/>
      <c r="I201" s="1819"/>
      <c r="J201" s="2547">
        <f>'Part III-A-Uses of Funds'!J88</f>
        <v>18867</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24200</v>
      </c>
      <c r="H203" s="2547"/>
      <c r="I203" s="378"/>
      <c r="J203" s="2547">
        <f>'Part III-A-Uses of Funds'!J90</f>
        <v>24200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1400</v>
      </c>
      <c r="H204" s="2547"/>
      <c r="I204" s="378"/>
      <c r="J204" s="2547">
        <f>'Part III-A-Uses of Funds'!J91</f>
        <v>1400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44467</v>
      </c>
      <c r="H205" s="2547"/>
      <c r="I205" s="1819"/>
      <c r="J205" s="2547">
        <f>SUM(J201:J204)</f>
        <v>44467</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9000</v>
      </c>
      <c r="H210" s="2547"/>
      <c r="I210" s="1819"/>
      <c r="J210" s="2547"/>
      <c r="K210" s="2547"/>
      <c r="L210" s="2545"/>
      <c r="M210" s="2547"/>
      <c r="N210" s="2547"/>
      <c r="O210" s="1819"/>
      <c r="P210" s="2547"/>
      <c r="Q210" s="2547"/>
      <c r="R210" s="1819"/>
      <c r="S210" s="2547">
        <f>'Part III-A-Uses of Funds'!S97</f>
        <v>9000</v>
      </c>
      <c r="T210" s="2547"/>
      <c r="U210" s="1819"/>
      <c r="V210" s="2665"/>
    </row>
    <row r="211" spans="1:33">
      <c r="A211" s="1819"/>
      <c r="B211" s="1819" t="s">
        <v>1199</v>
      </c>
      <c r="C211" s="1819"/>
      <c r="D211" s="1819"/>
      <c r="E211" s="1819"/>
      <c r="F211" s="1819"/>
      <c r="G211" s="2547">
        <f>'Part III-A-Uses of Funds'!G98</f>
        <v>20000</v>
      </c>
      <c r="H211" s="2547"/>
      <c r="I211" s="1819"/>
      <c r="J211" s="2547"/>
      <c r="K211" s="2547"/>
      <c r="L211" s="2545"/>
      <c r="M211" s="2547"/>
      <c r="N211" s="2547"/>
      <c r="O211" s="1819"/>
      <c r="P211" s="2547"/>
      <c r="Q211" s="2547"/>
      <c r="R211" s="1819"/>
      <c r="S211" s="2547">
        <f>'Part III-A-Uses of Funds'!S98</f>
        <v>20000</v>
      </c>
      <c r="T211" s="2547"/>
      <c r="U211" s="1819"/>
      <c r="V211" s="2665"/>
    </row>
    <row r="212" spans="1:33">
      <c r="A212" s="1819"/>
      <c r="B212" s="1819" t="s">
        <v>1200</v>
      </c>
      <c r="C212" s="1819"/>
      <c r="D212" s="1819"/>
      <c r="E212" s="1819"/>
      <c r="F212" s="1819"/>
      <c r="G212" s="2547">
        <f>'Part III-A-Uses of Funds'!G99</f>
        <v>16500</v>
      </c>
      <c r="H212" s="2547"/>
      <c r="I212" s="1819"/>
      <c r="J212" s="2547"/>
      <c r="K212" s="2547"/>
      <c r="L212" s="2545"/>
      <c r="M212" s="2547"/>
      <c r="N212" s="2547"/>
      <c r="O212" s="1819"/>
      <c r="P212" s="2547"/>
      <c r="Q212" s="2547"/>
      <c r="R212" s="1819"/>
      <c r="S212" s="2547">
        <f>'Part III-A-Uses of Funds'!S99</f>
        <v>16500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45500</v>
      </c>
      <c r="H216" s="2547"/>
      <c r="I216" s="1819"/>
      <c r="J216" s="2547"/>
      <c r="K216" s="2547"/>
      <c r="L216" s="2545"/>
      <c r="M216" s="2547"/>
      <c r="N216" s="2547"/>
      <c r="O216" s="1819"/>
      <c r="P216" s="2547"/>
      <c r="Q216" s="2547"/>
      <c r="R216" s="1819"/>
      <c r="S216" s="2547">
        <f>SUM(S210:S215)</f>
        <v>45500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44</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86400</v>
      </c>
      <c r="F221" s="2561"/>
      <c r="G221" s="2547">
        <f>'Part III-A-Uses of Funds'!G108</f>
        <v>86400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86400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44000</v>
      </c>
      <c r="F222" s="2561"/>
      <c r="G222" s="2547">
        <f>'Part III-A-Uses of Funds'!G109</f>
        <v>44000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44</v>
      </c>
      <c r="AC226" s="1819"/>
      <c r="AD226" s="2703">
        <f>IF($AD$101="Income Averaging",AB226*'DCA Underwriting Assumptions'!$Q$61,AB226*'DCA Underwriting Assumptions'!$Q$60)</f>
        <v>35200</v>
      </c>
      <c r="AE226" s="1819"/>
      <c r="AF226" s="1819"/>
      <c r="AG226" s="1819"/>
    </row>
    <row r="227" spans="1:33">
      <c r="A227" s="1819"/>
      <c r="B227" s="1819"/>
      <c r="C227" s="1819"/>
      <c r="D227" s="1819"/>
      <c r="E227" s="1819"/>
      <c r="F227" s="2669" t="s">
        <v>184</v>
      </c>
      <c r="G227" s="2547">
        <f>SUM(G218:G226)</f>
        <v>153400</v>
      </c>
      <c r="H227" s="2547"/>
      <c r="I227" s="1819"/>
      <c r="J227" s="2545"/>
      <c r="K227" s="2545"/>
      <c r="L227" s="2545"/>
      <c r="M227" s="2545"/>
      <c r="N227" s="2545"/>
      <c r="O227" s="1819"/>
      <c r="P227" s="2545"/>
      <c r="Q227" s="2545"/>
      <c r="R227" s="1819"/>
      <c r="S227" s="2547">
        <f>SUM(S218:S226)</f>
        <v>153400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44</v>
      </c>
      <c r="AC228" s="1819"/>
      <c r="AD228" s="2706">
        <f>SUM(AD226:AD227)</f>
        <v>35200</v>
      </c>
      <c r="AE228" s="1819"/>
      <c r="AF228" s="1819"/>
      <c r="AG228" s="1819"/>
    </row>
    <row r="229" spans="1:33">
      <c r="A229" s="1819"/>
      <c r="B229" s="1819" t="s">
        <v>267</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5000</v>
      </c>
      <c r="H233" s="2547"/>
      <c r="I233" s="1819"/>
      <c r="J233" s="2547"/>
      <c r="K233" s="2547"/>
      <c r="L233" s="2545"/>
      <c r="M233" s="2547"/>
      <c r="N233" s="2547"/>
      <c r="O233" s="1819"/>
      <c r="P233" s="2547"/>
      <c r="Q233" s="2547"/>
      <c r="R233" s="1819"/>
      <c r="S233" s="2547">
        <f>SUM(S229:S232)</f>
        <v>5000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605000</v>
      </c>
      <c r="H235" s="2547"/>
      <c r="I235" s="1819"/>
      <c r="J235" s="2547">
        <f>'Part III-A-Uses of Funds'!J122</f>
        <v>605000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3411</v>
      </c>
      <c r="C236" s="1819"/>
      <c r="D236" s="1819"/>
      <c r="E236" s="1819"/>
      <c r="F236" s="2564">
        <f>'Part III-A-Uses of Funds'!F123</f>
        <v>605000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0.5</v>
      </c>
      <c r="G239" s="2547">
        <f>'Part III-A-Uses of Funds'!G126</f>
        <v>605000</v>
      </c>
      <c r="H239" s="2547"/>
      <c r="I239" s="1819"/>
      <c r="J239" s="2547">
        <f>'Part III-A-Uses of Funds'!J126</f>
        <v>605000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1210000</v>
      </c>
      <c r="F240" s="2669" t="s">
        <v>184</v>
      </c>
      <c r="G240" s="2547">
        <f>SUM(G235:G239)</f>
        <v>1210000</v>
      </c>
      <c r="H240" s="2547"/>
      <c r="I240" s="1819"/>
      <c r="J240" s="2547">
        <f>SUM(J235:J239)</f>
        <v>1210000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25000</v>
      </c>
      <c r="H242" s="2547"/>
      <c r="I242" s="1819"/>
      <c r="J242" s="2560"/>
      <c r="K242" s="2560"/>
      <c r="L242" s="2560"/>
      <c r="M242" s="2560"/>
      <c r="N242" s="2560"/>
      <c r="O242" s="1819"/>
      <c r="P242" s="2560"/>
      <c r="Q242" s="2560"/>
      <c r="R242" s="1819"/>
      <c r="S242" s="2547">
        <f>'Part III-A-Uses of Funds'!S129</f>
        <v>25000</v>
      </c>
      <c r="T242" s="2547"/>
      <c r="U242" s="1819"/>
      <c r="V242" s="2665"/>
    </row>
    <row r="243" spans="1:22">
      <c r="A243" s="1819"/>
      <c r="B243" s="1819" t="s">
        <v>1436</v>
      </c>
      <c r="C243" s="1819"/>
      <c r="D243" s="1819"/>
      <c r="E243" s="1819"/>
      <c r="F243" s="2717">
        <f>'Part III-A-Uses of Funds'!F130</f>
        <v>54271.5</v>
      </c>
      <c r="G243" s="2547">
        <f>'Part III-A-Uses of Funds'!G130</f>
        <v>54272</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54272</v>
      </c>
      <c r="T243" s="2547"/>
      <c r="U243" s="1819"/>
      <c r="V243" s="2665"/>
    </row>
    <row r="244" spans="1:22">
      <c r="A244" s="1819"/>
      <c r="B244" s="1819" t="s">
        <v>632</v>
      </c>
      <c r="C244" s="1819"/>
      <c r="D244" s="1819"/>
      <c r="E244" s="1819"/>
      <c r="F244" s="2717">
        <f>'Part III-A-Uses of Funds'!F131</f>
        <v>136042.25812482729</v>
      </c>
      <c r="G244" s="2547">
        <f>'Part III-A-Uses of Funds'!G131</f>
        <v>136042</v>
      </c>
      <c r="H244" s="2547"/>
      <c r="I244" s="1819"/>
      <c r="J244" s="2565" t="str">
        <f>IF(E244&gt;G244,"WARNING! ODR proposed is below minimum - add comment.","")</f>
        <v/>
      </c>
      <c r="K244" s="2560"/>
      <c r="L244" s="2560"/>
      <c r="M244" s="2560"/>
      <c r="N244" s="2560"/>
      <c r="O244" s="1819"/>
      <c r="P244" s="2560"/>
      <c r="Q244" s="2560"/>
      <c r="R244" s="1819"/>
      <c r="S244" s="2547">
        <f>'Part III-A-Uses of Funds'!S131</f>
        <v>136042</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1250</v>
      </c>
      <c r="G246" s="2547">
        <f>'Part III-A-Uses of Funds'!G133</f>
        <v>55000</v>
      </c>
      <c r="H246" s="2547"/>
      <c r="I246" s="1819"/>
      <c r="J246" s="2547">
        <f>'Part III-A-Uses of Funds'!J133</f>
        <v>55000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270314</v>
      </c>
      <c r="H248" s="2547"/>
      <c r="I248" s="1819"/>
      <c r="J248" s="2547">
        <f>SUM(J246:J247)</f>
        <v>55000</v>
      </c>
      <c r="K248" s="2547"/>
      <c r="L248" s="2545"/>
      <c r="M248" s="2547">
        <f>SUM(M246:M247)</f>
        <v>0</v>
      </c>
      <c r="N248" s="2547"/>
      <c r="O248" s="1819"/>
      <c r="P248" s="2547">
        <f>SUM(P246:P247)</f>
        <v>0</v>
      </c>
      <c r="Q248" s="2547"/>
      <c r="R248" s="1819"/>
      <c r="S248" s="2547">
        <f>SUM(S242:S247)</f>
        <v>215314</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6959</v>
      </c>
      <c r="C259" s="1819"/>
      <c r="D259" s="1819"/>
      <c r="E259" s="2670"/>
      <c r="F259" s="2722"/>
      <c r="G259" s="2567">
        <f>G131+G137+G141+G149+G154+G159+G168+G186+G199+G205+G216+G227+G233+G240+G248+G257</f>
        <v>14641816.182497175</v>
      </c>
      <c r="H259" s="2567"/>
      <c r="I259" s="1819"/>
      <c r="J259" s="2567">
        <f>J131+J137+J141+J149+J154+J159+J168+J186+J199+J205+J216+J227+J233+J240+J248+J257</f>
        <v>13378393.182497175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1263423</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332768.54960220854</v>
      </c>
      <c r="E261" s="2568"/>
      <c r="F261" s="2695" t="s">
        <v>2487</v>
      </c>
      <c r="G261" s="2568">
        <f>IF('Part V-Revenues &amp; Expenses'!$K$175=0,0,G259/'Part V-Revenues &amp; Expenses'!$K$175)</f>
        <v>316.00587435786196</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13378393.182497175</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13378393.182497175</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17391911.137246329</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17391911.137246329</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1565272.0023521695</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1565272</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14641816.182497175</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900000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13741816.182497175</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1374181.6182497176</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1.272</v>
      </c>
      <c r="K295" s="2733"/>
      <c r="L295" s="2733"/>
      <c r="M295" s="1622" t="s">
        <v>1212</v>
      </c>
      <c r="N295" s="2734">
        <f>'Part III-A-Uses of Funds'!N182</f>
        <v>0.86</v>
      </c>
      <c r="O295" s="2734"/>
      <c r="P295" s="1622" t="s">
        <v>570</v>
      </c>
      <c r="Q295" s="2734">
        <f>'Part III-A-Uses of Funds'!Q182</f>
        <v>0.41199999999999998</v>
      </c>
      <c r="R295" s="2734"/>
      <c r="S295" s="1819"/>
      <c r="T295" s="1819"/>
      <c r="U295" s="1819"/>
      <c r="V295" s="2665"/>
    </row>
    <row r="296" spans="1:22">
      <c r="A296" s="1819"/>
      <c r="B296" s="2614" t="s">
        <v>1340</v>
      </c>
      <c r="C296" s="1819"/>
      <c r="D296" s="1819"/>
      <c r="E296" s="1819"/>
      <c r="F296" s="1819"/>
      <c r="G296" s="1819"/>
      <c r="H296" s="1819"/>
      <c r="I296" s="1819"/>
      <c r="J296" s="2647">
        <f>ROUNDDOWN(IF(J295=0,"",J293/J295),0)</f>
        <v>1080331</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1080331</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6964</v>
      </c>
      <c r="C302" s="1819"/>
      <c r="D302" s="1819"/>
      <c r="E302" s="1819"/>
      <c r="F302" s="1819"/>
      <c r="G302" s="1819"/>
      <c r="H302" s="1819"/>
      <c r="I302" s="1819"/>
      <c r="J302" s="2647">
        <f>'Part III-A-Uses of Funds'!J189</f>
        <v>1080000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6965</v>
      </c>
      <c r="C304" s="1819"/>
      <c r="D304" s="378"/>
      <c r="E304" s="378"/>
      <c r="F304" s="2623"/>
      <c r="G304" s="1819"/>
      <c r="H304" s="1819"/>
      <c r="I304" s="1819"/>
      <c r="J304" s="2647">
        <f>IF(J302="",0,+MIN(J300,J302))</f>
        <v>1080000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Central Bank of Kansas City will charge an industry standard 1% loan fee in the amount of $9,000 which is 1% of the total perm loan amount of $900,000.  
Central Bank of Kansas City will also be providing a construction loans up to $11,100,000.  A loan fee of 1.0% is being charged ($110,000).  This loan fee is included in the "Construction Loan Fee" line item above.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Windsor Crossing  -  Nashville  -  Berrien,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Easement for Access and Utilities</v>
      </c>
      <c r="B322" s="2571"/>
      <c r="C322" s="2571"/>
      <c r="D322" s="2571"/>
      <c r="E322" s="2745"/>
      <c r="F322" s="2572" t="str">
        <f>'Part III-B-Other Items'!F9</f>
        <v>The Applicant entered into an easement option agreement and corresponding easement agreement to allow for the site entrance road and utilities to be constructed and utilized for the subject property.  Therefore, the site will be legally accessed from Windsor Avenue.  The easement option and easement agreement call for the Applicant to pay $30,000 to the owner of the subject easement parcels (the “Grantor”).  That $30,000 is reflected in this line item.  Please see folders 9, 11, and 12 for copies of the easement option agreement and easement agreement.</v>
      </c>
      <c r="G322" s="2747"/>
      <c r="H322" s="2572" t="str">
        <f>'Part III-B-Other Items'!H9</f>
        <v>Not applicable - not in basis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30000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Windsor Crossing,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6970</v>
      </c>
    </row>
    <row r="405" spans="1:13" ht="38.25">
      <c r="A405" s="361" t="s">
        <v>573</v>
      </c>
      <c r="B405" s="361" t="s">
        <v>2059</v>
      </c>
      <c r="F405" s="359" t="s">
        <v>2317</v>
      </c>
      <c r="G405" s="359"/>
      <c r="H405" s="359"/>
      <c r="I405" s="2621" t="str">
        <f>'Part IV-Utility Allowances'!I7</f>
        <v>GA DCA South Low-Rise Apartment</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Windsor Crossing,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Windsor Crossing,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Berrien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6972</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6973</v>
      </c>
      <c r="P453" s="2768">
        <f>'Part V-Revenues &amp; Expenses'!P6</f>
        <v>55800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www.huduser.gov</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6974</v>
      </c>
      <c r="L456" s="1634" t="s">
        <v>139</v>
      </c>
      <c r="M456" s="1634"/>
      <c r="N456" s="2765" t="s">
        <v>2184</v>
      </c>
      <c r="O456" s="2765" t="s">
        <v>6482</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800</v>
      </c>
      <c r="G465" s="2578">
        <f>'Part V-Revenues &amp; Expenses'!G18</f>
        <v>668</v>
      </c>
      <c r="H465" s="2578">
        <f>'Part V-Revenues &amp; Expenses'!H18</f>
        <v>584</v>
      </c>
      <c r="I465" s="2578">
        <f>'Part V-Revenues &amp; Expenses'!I18</f>
        <v>0</v>
      </c>
      <c r="J465" s="2578">
        <f>'Part V-Revenues &amp; Expenses'!J18</f>
        <v>99</v>
      </c>
      <c r="K465" s="2579">
        <f>'Part V-Revenues &amp; Expenses'!K18</f>
        <v>0</v>
      </c>
      <c r="L465" s="2580">
        <f t="shared" si="1"/>
        <v>485</v>
      </c>
      <c r="M465" s="2580">
        <f t="shared" si="2"/>
        <v>970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1600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9</v>
      </c>
      <c r="F466" s="2578">
        <f>'Part V-Revenues &amp; Expenses'!F19</f>
        <v>964</v>
      </c>
      <c r="G466" s="2578">
        <f>'Part V-Revenues &amp; Expenses'!G19</f>
        <v>802</v>
      </c>
      <c r="H466" s="2578">
        <f>'Part V-Revenues &amp; Expenses'!H19</f>
        <v>677</v>
      </c>
      <c r="I466" s="2578">
        <f>'Part V-Revenues &amp; Expenses'!I19</f>
        <v>0</v>
      </c>
      <c r="J466" s="2578">
        <f>'Part V-Revenues &amp; Expenses'!J19</f>
        <v>127</v>
      </c>
      <c r="K466" s="2579">
        <f>'Part V-Revenues &amp; Expenses'!K19</f>
        <v>0</v>
      </c>
      <c r="L466" s="2580">
        <f t="shared" si="1"/>
        <v>550</v>
      </c>
      <c r="M466" s="2580">
        <f t="shared" si="2"/>
        <v>4950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9</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8676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9</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9</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9</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5</v>
      </c>
      <c r="F467" s="2578">
        <f>'Part V-Revenues &amp; Expenses'!F20</f>
        <v>1157</v>
      </c>
      <c r="G467" s="2578">
        <f>'Part V-Revenues &amp; Expenses'!G20</f>
        <v>926</v>
      </c>
      <c r="H467" s="2578">
        <f>'Part V-Revenues &amp; Expenses'!H20</f>
        <v>751</v>
      </c>
      <c r="I467" s="2578">
        <f>'Part V-Revenues &amp; Expenses'!I20</f>
        <v>0</v>
      </c>
      <c r="J467" s="2578">
        <f>'Part V-Revenues &amp; Expenses'!J20</f>
        <v>156</v>
      </c>
      <c r="K467" s="2579">
        <f>'Part V-Revenues &amp; Expenses'!K20</f>
        <v>0</v>
      </c>
      <c r="L467" s="2580">
        <f t="shared" si="1"/>
        <v>595</v>
      </c>
      <c r="M467" s="2580">
        <f t="shared" si="2"/>
        <v>2975</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5</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5785</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5</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5</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5</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5</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3</v>
      </c>
      <c r="F468" s="2578">
        <f>'Part V-Revenues &amp; Expenses'!F21</f>
        <v>800</v>
      </c>
      <c r="G468" s="2578">
        <f>'Part V-Revenues &amp; Expenses'!G21</f>
        <v>801</v>
      </c>
      <c r="H468" s="2578">
        <f>'Part V-Revenues &amp; Expenses'!H21</f>
        <v>649</v>
      </c>
      <c r="I468" s="2578">
        <f>'Part V-Revenues &amp; Expenses'!I21</f>
        <v>0</v>
      </c>
      <c r="J468" s="2578">
        <f>'Part V-Revenues &amp; Expenses'!J21</f>
        <v>99</v>
      </c>
      <c r="K468" s="2579">
        <f>'Part V-Revenues &amp; Expenses'!K21</f>
        <v>0</v>
      </c>
      <c r="L468" s="2580">
        <f t="shared" si="1"/>
        <v>550</v>
      </c>
      <c r="M468" s="2580">
        <f t="shared" si="2"/>
        <v>1650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2400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3</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11</v>
      </c>
      <c r="F469" s="2578">
        <f>'Part V-Revenues &amp; Expenses'!F22</f>
        <v>964</v>
      </c>
      <c r="G469" s="2578">
        <f>'Part V-Revenues &amp; Expenses'!G22</f>
        <v>963</v>
      </c>
      <c r="H469" s="2578">
        <f>'Part V-Revenues &amp; Expenses'!H22</f>
        <v>737</v>
      </c>
      <c r="I469" s="2578">
        <f>'Part V-Revenues &amp; Expenses'!I22</f>
        <v>0</v>
      </c>
      <c r="J469" s="2578">
        <f>'Part V-Revenues &amp; Expenses'!J22</f>
        <v>127</v>
      </c>
      <c r="K469" s="2579">
        <f>'Part V-Revenues &amp; Expenses'!K22</f>
        <v>0</v>
      </c>
      <c r="L469" s="2580">
        <f t="shared" si="1"/>
        <v>610</v>
      </c>
      <c r="M469" s="2580">
        <f t="shared" si="2"/>
        <v>6710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10604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11</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11</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11</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7</v>
      </c>
      <c r="F470" s="2578">
        <f>'Part V-Revenues &amp; Expenses'!F23</f>
        <v>1157</v>
      </c>
      <c r="G470" s="2578">
        <f>'Part V-Revenues &amp; Expenses'!G23</f>
        <v>1112</v>
      </c>
      <c r="H470" s="2578">
        <f>'Part V-Revenues &amp; Expenses'!H23</f>
        <v>846</v>
      </c>
      <c r="I470" s="2578">
        <f>'Part V-Revenues &amp; Expenses'!I23</f>
        <v>0</v>
      </c>
      <c r="J470" s="2578">
        <f>'Part V-Revenues &amp; Expenses'!J23</f>
        <v>156</v>
      </c>
      <c r="K470" s="2579">
        <f>'Part V-Revenues &amp; Expenses'!K23</f>
        <v>0</v>
      </c>
      <c r="L470" s="2580">
        <f t="shared" si="1"/>
        <v>690</v>
      </c>
      <c r="M470" s="2580">
        <f t="shared" si="2"/>
        <v>4830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7</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8099</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7</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7</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7</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7</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70</v>
      </c>
      <c r="C471" s="2576">
        <f>'Part V-Revenues &amp; Expenses'!C24</f>
        <v>1</v>
      </c>
      <c r="D471" s="2577">
        <f>'Part V-Revenues &amp; Expenses'!D24</f>
        <v>1</v>
      </c>
      <c r="E471" s="2578">
        <f>'Part V-Revenues &amp; Expenses'!E24</f>
        <v>1</v>
      </c>
      <c r="F471" s="2578">
        <f>'Part V-Revenues &amp; Expenses'!F24</f>
        <v>800</v>
      </c>
      <c r="G471" s="2578">
        <f>'Part V-Revenues &amp; Expenses'!G24</f>
        <v>935</v>
      </c>
      <c r="H471" s="2578">
        <f>'Part V-Revenues &amp; Expenses'!H24</f>
        <v>724</v>
      </c>
      <c r="I471" s="2578">
        <f>'Part V-Revenues &amp; Expenses'!I24</f>
        <v>0</v>
      </c>
      <c r="J471" s="2578">
        <f>'Part V-Revenues &amp; Expenses'!J24</f>
        <v>99</v>
      </c>
      <c r="K471" s="2579">
        <f>'Part V-Revenues &amp; Expenses'!K24</f>
        <v>0</v>
      </c>
      <c r="L471" s="2580">
        <f t="shared" si="1"/>
        <v>625</v>
      </c>
      <c r="M471" s="2580">
        <f t="shared" si="2"/>
        <v>625</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f t="shared" si="9"/>
        <v>1</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1</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800</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1</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70</v>
      </c>
      <c r="C472" s="2576">
        <f>'Part V-Revenues &amp; Expenses'!C25</f>
        <v>2</v>
      </c>
      <c r="D472" s="2577">
        <f>'Part V-Revenues &amp; Expenses'!D25</f>
        <v>2</v>
      </c>
      <c r="E472" s="2578">
        <f>'Part V-Revenues &amp; Expenses'!E25</f>
        <v>4</v>
      </c>
      <c r="F472" s="2578">
        <f>'Part V-Revenues &amp; Expenses'!F25</f>
        <v>964</v>
      </c>
      <c r="G472" s="2578">
        <f>'Part V-Revenues &amp; Expenses'!G25</f>
        <v>1123</v>
      </c>
      <c r="H472" s="2578">
        <f>'Part V-Revenues &amp; Expenses'!H25</f>
        <v>837</v>
      </c>
      <c r="I472" s="2578">
        <f>'Part V-Revenues &amp; Expenses'!I25</f>
        <v>0</v>
      </c>
      <c r="J472" s="2578">
        <f>'Part V-Revenues &amp; Expenses'!J25</f>
        <v>127</v>
      </c>
      <c r="K472" s="2579">
        <f>'Part V-Revenues &amp; Expenses'!K25</f>
        <v>0</v>
      </c>
      <c r="L472" s="2580">
        <f t="shared" si="1"/>
        <v>710</v>
      </c>
      <c r="M472" s="2580">
        <f t="shared" si="2"/>
        <v>2840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4</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4</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3856</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4</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4</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4</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4</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70</v>
      </c>
      <c r="C473" s="2576">
        <f>'Part V-Revenues &amp; Expenses'!C26</f>
        <v>3</v>
      </c>
      <c r="D473" s="2577">
        <f>'Part V-Revenues &amp; Expenses'!D26</f>
        <v>2</v>
      </c>
      <c r="E473" s="2578">
        <f>'Part V-Revenues &amp; Expenses'!E26</f>
        <v>2</v>
      </c>
      <c r="F473" s="2578">
        <f>'Part V-Revenues &amp; Expenses'!F26</f>
        <v>1157</v>
      </c>
      <c r="G473" s="2578">
        <f>'Part V-Revenues &amp; Expenses'!G26</f>
        <v>1297</v>
      </c>
      <c r="H473" s="2578">
        <f>'Part V-Revenues &amp; Expenses'!H26</f>
        <v>946</v>
      </c>
      <c r="I473" s="2578">
        <f>'Part V-Revenues &amp; Expenses'!I26</f>
        <v>0</v>
      </c>
      <c r="J473" s="2578">
        <f>'Part V-Revenues &amp; Expenses'!J26</f>
        <v>156</v>
      </c>
      <c r="K473" s="2579">
        <f>'Part V-Revenues &amp; Expenses'!K26</f>
        <v>0</v>
      </c>
      <c r="L473" s="2580">
        <f t="shared" si="1"/>
        <v>790</v>
      </c>
      <c r="M473" s="2580">
        <f t="shared" si="2"/>
        <v>1580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2</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2</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2314</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2</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2</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2</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2</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44134</v>
      </c>
      <c r="H496" s="2583" t="s">
        <v>3765</v>
      </c>
      <c r="I496" s="2787" t="s">
        <v>3766</v>
      </c>
      <c r="J496" s="2584" t="str">
        <f>IF(P514=0,"",IF(SUM(P505:P509)/P514&gt;=0.4,"Pass","Fail"))</f>
        <v>Pass</v>
      </c>
      <c r="K496" s="363"/>
      <c r="L496" s="2788" t="s">
        <v>1225</v>
      </c>
      <c r="M496" s="2585">
        <f>SUM(M458:M495)</f>
        <v>27130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v>
      </c>
      <c r="AE496" s="1749">
        <f t="shared" si="338"/>
        <v>4</v>
      </c>
      <c r="AF496" s="1749">
        <f t="shared" si="338"/>
        <v>2</v>
      </c>
      <c r="AG496" s="1749">
        <f t="shared" si="338"/>
        <v>0</v>
      </c>
      <c r="AH496" s="1749">
        <f t="shared" si="338"/>
        <v>0</v>
      </c>
      <c r="AI496" s="1749">
        <f t="shared" si="338"/>
        <v>3</v>
      </c>
      <c r="AJ496" s="1749">
        <f t="shared" si="338"/>
        <v>11</v>
      </c>
      <c r="AK496" s="1749">
        <f t="shared" si="338"/>
        <v>7</v>
      </c>
      <c r="AL496" s="1749">
        <f t="shared" si="338"/>
        <v>0</v>
      </c>
      <c r="AM496" s="1749">
        <f>SUM(AM458:AM495)</f>
        <v>0</v>
      </c>
      <c r="AN496" s="1749">
        <f>SUM(AN458:AN495)</f>
        <v>2</v>
      </c>
      <c r="AO496" s="1749">
        <f>SUM(AO458:AO495)</f>
        <v>9</v>
      </c>
      <c r="AP496" s="1749">
        <f>SUM(AP458:AP495)</f>
        <v>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v>
      </c>
      <c r="CM496" s="1749">
        <f>SUM(CM458:CM495)</f>
        <v>4</v>
      </c>
      <c r="CN496" s="1749">
        <f>SUM(CN458:CN495)</f>
        <v>2</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800</v>
      </c>
      <c r="EP496" s="1749">
        <f t="shared" si="338"/>
        <v>3856</v>
      </c>
      <c r="EQ496" s="1749">
        <f t="shared" si="338"/>
        <v>2314</v>
      </c>
      <c r="ER496" s="1749">
        <f t="shared" si="338"/>
        <v>0</v>
      </c>
      <c r="ES496" s="1749">
        <f t="shared" si="338"/>
        <v>0</v>
      </c>
      <c r="ET496" s="1749">
        <f t="shared" si="338"/>
        <v>2400</v>
      </c>
      <c r="EU496" s="1749">
        <f t="shared" si="338"/>
        <v>10604</v>
      </c>
      <c r="EV496" s="1749">
        <f t="shared" si="338"/>
        <v>8099</v>
      </c>
      <c r="EW496" s="1749">
        <f t="shared" si="338"/>
        <v>0</v>
      </c>
      <c r="EX496" s="1749">
        <f t="shared" si="338"/>
        <v>0</v>
      </c>
      <c r="EY496" s="1749">
        <f t="shared" si="338"/>
        <v>1600</v>
      </c>
      <c r="EZ496" s="1749">
        <f t="shared" si="338"/>
        <v>8676</v>
      </c>
      <c r="FA496" s="1749">
        <f t="shared" si="338"/>
        <v>5785</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v>
      </c>
      <c r="GI496" s="1749">
        <f t="shared" si="340"/>
        <v>24</v>
      </c>
      <c r="GJ496" s="1749">
        <f t="shared" si="340"/>
        <v>14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v>
      </c>
      <c r="IB496" s="1749">
        <f t="shared" si="341"/>
        <v>24</v>
      </c>
      <c r="IC496" s="1749">
        <f t="shared" si="341"/>
        <v>14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6</v>
      </c>
      <c r="JU496" s="1749">
        <f t="shared" si="341"/>
        <v>24</v>
      </c>
      <c r="JV496" s="1749">
        <f t="shared" si="341"/>
        <v>14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v>
      </c>
      <c r="MM496" s="1749">
        <f t="shared" si="343"/>
        <v>24</v>
      </c>
      <c r="MN496" s="1749">
        <f t="shared" si="343"/>
        <v>14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57.954545454545453</v>
      </c>
      <c r="C497" s="2789"/>
      <c r="D497" s="2756" t="s">
        <v>3675</v>
      </c>
      <c r="E497" s="2581">
        <f>SUM(E465:E495)</f>
        <v>44</v>
      </c>
      <c r="F497" s="2582">
        <f>(E465*F465+E466*F466+E467*F467+E468*F468+E469*F469+E470*F470+E471*F471+E472*F472+E473*F473+E474*F474+E475*F475+E476*F476+E477*F477+E478*F478+E479*F479+E480*F480+E481*F481+E482*F482+E483*F483+E484*F484+E485*F485+E486*F486+E487*F487+E488*F488+E489*F489+E490*F490+E491*F491+E492*F492+E493*F493+E494*F494+E495*F495)</f>
        <v>44134</v>
      </c>
      <c r="H497" s="2583"/>
      <c r="I497" s="2787" t="s">
        <v>3767</v>
      </c>
      <c r="J497" s="2584" t="str">
        <f>IF(P514=0,"",IF(SUM(P506:P509)/P514&gt;=0.2,"Pass","Fail"))</f>
        <v>Pass</v>
      </c>
      <c r="K497" s="363"/>
      <c r="L497" s="2786" t="s">
        <v>757</v>
      </c>
      <c r="M497" s="2585">
        <f>M496*12</f>
        <v>325560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1</v>
      </c>
      <c r="M504" s="2586">
        <f>AE496</f>
        <v>4</v>
      </c>
      <c r="N504" s="2586">
        <f>AF496</f>
        <v>2</v>
      </c>
      <c r="O504" s="2586">
        <f>AG496</f>
        <v>0</v>
      </c>
      <c r="P504" s="2586">
        <f t="shared" si="344"/>
        <v>7</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11</v>
      </c>
      <c r="N505" s="2586">
        <f>AK496</f>
        <v>7</v>
      </c>
      <c r="O505" s="2586">
        <f>AL496</f>
        <v>0</v>
      </c>
      <c r="P505" s="2586">
        <f t="shared" si="344"/>
        <v>21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9</v>
      </c>
      <c r="N506" s="2586">
        <f>AP496</f>
        <v>5</v>
      </c>
      <c r="O506" s="2586">
        <f>AQ496</f>
        <v>0</v>
      </c>
      <c r="P506" s="2586">
        <f t="shared" si="344"/>
        <v>16</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6</v>
      </c>
      <c r="M510" s="2586">
        <f>SUM(M503:M509)</f>
        <v>24</v>
      </c>
      <c r="N510" s="2586">
        <f>SUM(N503:N509)</f>
        <v>14</v>
      </c>
      <c r="O510" s="2586">
        <f>SUM(O503:O509)</f>
        <v>0</v>
      </c>
      <c r="P510" s="2586">
        <f t="shared" si="344"/>
        <v>44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6</v>
      </c>
      <c r="M512" s="2587">
        <f>SUM(M510:M511)</f>
        <v>24</v>
      </c>
      <c r="N512" s="2587">
        <f>SUM(N510:N511)</f>
        <v>14</v>
      </c>
      <c r="O512" s="2587">
        <f>SUM(O510:O511)</f>
        <v>0</v>
      </c>
      <c r="P512" s="2587">
        <f t="shared" si="344"/>
        <v>44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6</v>
      </c>
      <c r="M514" s="2588">
        <f>SUM(M512:M513)</f>
        <v>24</v>
      </c>
      <c r="N514" s="2588">
        <f>SUM(N512:N513)</f>
        <v>14</v>
      </c>
      <c r="O514" s="2588">
        <f>SUM(O512:O513)</f>
        <v>0</v>
      </c>
      <c r="P514" s="2588">
        <f t="shared" si="344"/>
        <v>44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3677</v>
      </c>
      <c r="I520" s="362"/>
      <c r="J520" s="359"/>
      <c r="K520" s="2803" t="str">
        <f t="shared" ref="K520:P520" si="347">IF(OR(K504=0,K514=0),"",K504/K514)</f>
        <v/>
      </c>
      <c r="L520" s="2803">
        <f t="shared" si="347"/>
        <v>0.16666666666666666</v>
      </c>
      <c r="M520" s="2803">
        <f t="shared" si="347"/>
        <v>0.16666666666666666</v>
      </c>
      <c r="N520" s="2803">
        <f t="shared" si="347"/>
        <v>0.14285714285714285</v>
      </c>
      <c r="O520" s="2803" t="str">
        <f t="shared" si="347"/>
        <v/>
      </c>
      <c r="P520" s="2803">
        <f t="shared" si="347"/>
        <v>0.15909090909090909</v>
      </c>
      <c r="S520" s="2784"/>
      <c r="T520" s="2784"/>
      <c r="U520" s="2784"/>
      <c r="V520" s="2784"/>
      <c r="W520" s="2784"/>
    </row>
    <row r="521" spans="1:343">
      <c r="C521" s="2621"/>
      <c r="D521" s="2621"/>
      <c r="E521" s="2621"/>
      <c r="F521" s="2621"/>
      <c r="H521" s="1503" t="s">
        <v>6977</v>
      </c>
      <c r="I521" s="362"/>
      <c r="J521" s="359"/>
      <c r="K521" s="2804" t="str">
        <f>IF(OR(K504=0,P520="",K514=0),"",P520*K514)</f>
        <v/>
      </c>
      <c r="L521" s="2804">
        <f>IF(OR(L504=0,P520="",L514=0),"",P520*L514)</f>
        <v>0.95454545454545459</v>
      </c>
      <c r="M521" s="2804">
        <f>IF(OR(M504=0,P520="",M514=0),"",P520*M514)</f>
        <v>3.8181818181818183</v>
      </c>
      <c r="N521" s="2804">
        <f>IF(OR(N504=0,P520="",N514=0),"",P520*N514)</f>
        <v>2.2272727272727271</v>
      </c>
      <c r="O521" s="2804" t="str">
        <f>IF(OR(O504=0,P520="",O514=0),"",P520*O514)</f>
        <v/>
      </c>
      <c r="P521" s="2804">
        <f>IF(OR(P520="",P514=0),"",P520*P514)</f>
        <v>7</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f t="shared" si="348"/>
        <v>4.5454545454545414E-2</v>
      </c>
      <c r="M522" s="2804">
        <f t="shared" si="348"/>
        <v>0.18181818181818166</v>
      </c>
      <c r="N522" s="2804">
        <f t="shared" si="348"/>
        <v>-0.22727272727272707</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0.5</v>
      </c>
      <c r="M523" s="2803">
        <f t="shared" si="349"/>
        <v>0.45833333333333331</v>
      </c>
      <c r="N523" s="2803">
        <f t="shared" si="349"/>
        <v>0.5</v>
      </c>
      <c r="O523" s="2803" t="str">
        <f t="shared" si="349"/>
        <v/>
      </c>
      <c r="P523" s="2803">
        <f t="shared" si="349"/>
        <v>0.47727272727272729</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2.8636363636363638</v>
      </c>
      <c r="M524" s="2804">
        <f>IF(OR(M505=0,P523="",M514=0),"",P523*M514)</f>
        <v>11.454545454545455</v>
      </c>
      <c r="N524" s="2804">
        <f>IF(OR(N505=0,P523="",N514=0),"",P523*N514)</f>
        <v>6.6818181818181817</v>
      </c>
      <c r="O524" s="2804" t="str">
        <f>IF(OR(O505=0,P523="",O514=0),"",P523*O514)</f>
        <v/>
      </c>
      <c r="P524" s="2804">
        <f>IF(OR(P523="",P514=0),"",P523*P514)</f>
        <v>21</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0.13636363636363624</v>
      </c>
      <c r="M525" s="2804">
        <f t="shared" si="350"/>
        <v>-0.45454545454545503</v>
      </c>
      <c r="N525" s="2804">
        <f t="shared" si="350"/>
        <v>0.31818181818181834</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0.33333333333333331</v>
      </c>
      <c r="M526" s="2803">
        <f t="shared" si="351"/>
        <v>0.375</v>
      </c>
      <c r="N526" s="2803">
        <f t="shared" si="351"/>
        <v>0.35714285714285715</v>
      </c>
      <c r="O526" s="2803" t="str">
        <f t="shared" si="351"/>
        <v/>
      </c>
      <c r="P526" s="2803">
        <f t="shared" si="351"/>
        <v>0.36363636363636365</v>
      </c>
    </row>
    <row r="527" spans="1:343">
      <c r="C527" s="2805"/>
      <c r="D527" s="2805"/>
      <c r="E527" s="2805"/>
      <c r="H527" s="1503" t="s">
        <v>6977</v>
      </c>
      <c r="I527" s="362"/>
      <c r="J527" s="359"/>
      <c r="K527" s="2804" t="str">
        <f>IF(OR(K506=0,P526="",K514=0),"",P526*K514)</f>
        <v/>
      </c>
      <c r="L527" s="2804">
        <f>IF(OR(L506=0,P526="",L514=0),"",P526*L514)</f>
        <v>2.1818181818181817</v>
      </c>
      <c r="M527" s="2804">
        <f>IF(OR(M506=0,P526="",M514=0),"",P526*M514)</f>
        <v>8.7272727272727266</v>
      </c>
      <c r="N527" s="2804">
        <f>IF(OR(N506=0,P526="",N514=0),"",P526*N514)</f>
        <v>5.0909090909090908</v>
      </c>
      <c r="O527" s="2804" t="str">
        <f>IF(OR(O506=0,P526="",O514=0),"",P526*O514)</f>
        <v/>
      </c>
      <c r="P527" s="2804">
        <f>IF(OR(P526="",P514=0),"",P526*P514)</f>
        <v>16</v>
      </c>
    </row>
    <row r="528" spans="1:343">
      <c r="C528" s="2805"/>
      <c r="D528" s="2805"/>
      <c r="E528" s="2805"/>
      <c r="G528" s="2787"/>
      <c r="H528" s="1503" t="s">
        <v>6978</v>
      </c>
      <c r="I528" s="362"/>
      <c r="J528" s="359"/>
      <c r="K528" s="2804" t="str">
        <f t="shared" ref="K528:P528" si="352">IF(OR(K527="",K506=0),"", K506-K527)</f>
        <v/>
      </c>
      <c r="L528" s="2804">
        <f t="shared" si="352"/>
        <v>-0.18181818181818166</v>
      </c>
      <c r="M528" s="2804">
        <f t="shared" si="352"/>
        <v>0.27272727272727337</v>
      </c>
      <c r="N528" s="2804">
        <f t="shared" si="352"/>
        <v>-9.0909090909090828E-2</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1</v>
      </c>
      <c r="M541" s="2586">
        <f>CM496</f>
        <v>4</v>
      </c>
      <c r="N541" s="2586">
        <f>CN496</f>
        <v>2</v>
      </c>
      <c r="O541" s="2586">
        <f>CO496</f>
        <v>0</v>
      </c>
      <c r="P541" s="2586">
        <f t="shared" si="359"/>
        <v>7</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4</v>
      </c>
      <c r="N547" s="2588">
        <f>SUM(N540:N546)</f>
        <v>2</v>
      </c>
      <c r="O547" s="2588">
        <f>SUM(O540:O546)</f>
        <v>0</v>
      </c>
      <c r="P547" s="2588">
        <f t="shared" si="359"/>
        <v>7</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6</v>
      </c>
      <c r="M560" s="2586">
        <f>GI496</f>
        <v>24</v>
      </c>
      <c r="N560" s="2586">
        <f>GJ496</f>
        <v>14</v>
      </c>
      <c r="O560" s="2586">
        <f>GK496</f>
        <v>0</v>
      </c>
      <c r="P560" s="2586">
        <f t="shared" ref="P560:P570" si="361">SUM(K560:O560)</f>
        <v>44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6</v>
      </c>
      <c r="M562" s="2588">
        <f>SUM(M560:M561)+GS496</f>
        <v>24</v>
      </c>
      <c r="N562" s="2588">
        <f>SUM(N560:N561)+GT496</f>
        <v>14</v>
      </c>
      <c r="O562" s="2588">
        <f>SUM(O560:O561)+GU496</f>
        <v>0</v>
      </c>
      <c r="P562" s="2588">
        <f t="shared" si="361"/>
        <v>44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6</v>
      </c>
      <c r="M574" s="2588">
        <f t="shared" si="362"/>
        <v>24</v>
      </c>
      <c r="N574" s="2588">
        <f t="shared" si="362"/>
        <v>14</v>
      </c>
      <c r="O574" s="2588">
        <f t="shared" si="362"/>
        <v>0</v>
      </c>
      <c r="P574" s="2588">
        <f t="shared" si="362"/>
        <v>44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6</v>
      </c>
      <c r="M575" s="2586">
        <f>JU496</f>
        <v>24</v>
      </c>
      <c r="N575" s="2586">
        <f>JV496</f>
        <v>14</v>
      </c>
      <c r="O575" s="2586">
        <f>JW496</f>
        <v>0</v>
      </c>
      <c r="P575" s="2586">
        <f t="shared" ref="P575:P590" si="363">SUM(K575:O575)</f>
        <v>44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6</v>
      </c>
      <c r="M598" s="2586">
        <f t="shared" si="367"/>
        <v>24</v>
      </c>
      <c r="N598" s="2586">
        <f t="shared" si="367"/>
        <v>14</v>
      </c>
      <c r="O598" s="2586">
        <f t="shared" si="367"/>
        <v>0</v>
      </c>
      <c r="P598" s="2588">
        <f t="shared" si="365"/>
        <v>44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800</v>
      </c>
      <c r="M605" s="2590">
        <f>EP496</f>
        <v>3856</v>
      </c>
      <c r="N605" s="2590">
        <f>EQ496</f>
        <v>2314</v>
      </c>
      <c r="O605" s="2590">
        <f>ER496</f>
        <v>0</v>
      </c>
      <c r="P605" s="2590">
        <f t="shared" si="368"/>
        <v>6970</v>
      </c>
      <c r="Q605" s="2804">
        <f t="shared" si="369"/>
        <v>995.71428571428567</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2400</v>
      </c>
      <c r="M606" s="2590">
        <f>EU496</f>
        <v>10604</v>
      </c>
      <c r="N606" s="2590">
        <f>EV496</f>
        <v>8099</v>
      </c>
      <c r="O606" s="2590">
        <f>EW496</f>
        <v>0</v>
      </c>
      <c r="P606" s="2590">
        <f t="shared" si="368"/>
        <v>21103</v>
      </c>
      <c r="Q606" s="2804">
        <f t="shared" si="369"/>
        <v>1004.9047619047619</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1600</v>
      </c>
      <c r="M607" s="2590">
        <f>EZ496</f>
        <v>8676</v>
      </c>
      <c r="N607" s="2590">
        <f>FA496</f>
        <v>5785</v>
      </c>
      <c r="O607" s="2590">
        <f>FB496</f>
        <v>0</v>
      </c>
      <c r="P607" s="2590">
        <f t="shared" si="368"/>
        <v>16061</v>
      </c>
      <c r="Q607" s="2804">
        <f t="shared" si="369"/>
        <v>1003.8125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4800</v>
      </c>
      <c r="M611" s="2591">
        <f>SUM(M604:M610)</f>
        <v>23136</v>
      </c>
      <c r="N611" s="2591">
        <f>SUM(N604:N610)</f>
        <v>16198</v>
      </c>
      <c r="O611" s="2591">
        <f>SUM(O604:O610)</f>
        <v>0</v>
      </c>
      <c r="P611" s="2591">
        <f>SUM(K611:O611)</f>
        <v>44134</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4800</v>
      </c>
      <c r="M613" s="2592">
        <f>SUM(M611:M612)</f>
        <v>23136</v>
      </c>
      <c r="N613" s="2592">
        <f>SUM(N611:N612)</f>
        <v>16198</v>
      </c>
      <c r="O613" s="2592">
        <f>SUM(O611:O612)</f>
        <v>0</v>
      </c>
      <c r="P613" s="2592">
        <f>SUM(K613:O613)</f>
        <v>44134</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4800</v>
      </c>
      <c r="M615" s="2593">
        <f>SUM(M613:M614)</f>
        <v>23136</v>
      </c>
      <c r="N615" s="2593">
        <f>SUM(N613:N614)</f>
        <v>16198</v>
      </c>
      <c r="O615" s="2593">
        <f>SUM(O613:O614)</f>
        <v>0</v>
      </c>
      <c r="P615" s="2593">
        <f>SUM(K615:O615)</f>
        <v>44134</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800</v>
      </c>
      <c r="M618" s="2818">
        <f>IF(OR(M514="",M514=0),"",M615/M514)</f>
        <v>964</v>
      </c>
      <c r="N618" s="2818">
        <f>IF(OR(N514="",N514=0),"",N615/N514)</f>
        <v>1157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2200</v>
      </c>
      <c r="L621" s="2549"/>
      <c r="Z621" s="1622">
        <v>68</v>
      </c>
    </row>
    <row r="622" spans="1:380" s="1819" customFormat="1" ht="13.35" customHeight="1">
      <c r="A622" s="2615"/>
      <c r="C622" s="377" t="s">
        <v>242</v>
      </c>
      <c r="K622" s="2549">
        <f>P615+K621</f>
        <v>46334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6511.2</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22176</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30000</v>
      </c>
      <c r="G668" s="2590"/>
      <c r="I668" s="359" t="s">
        <v>1300</v>
      </c>
      <c r="L668" s="2590">
        <f>'Part V-Revenues &amp; Expenses'!L221</f>
        <v>0</v>
      </c>
      <c r="M668" s="2590"/>
      <c r="O668" s="2599">
        <f>+Q667/(P514*0.93)</f>
        <v>541.93548387096769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25536</v>
      </c>
      <c r="G669" s="2590"/>
      <c r="I669" s="359" t="s">
        <v>1301</v>
      </c>
      <c r="L669" s="2590">
        <f>'Part V-Revenues &amp; Expenses'!L222</f>
        <v>600</v>
      </c>
      <c r="M669" s="2590"/>
      <c r="O669" s="2599">
        <f>+Q667/(P514*0.93)/12</f>
        <v>45.161290322580641</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55536</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7500</v>
      </c>
      <c r="M675" s="2590"/>
      <c r="N675" s="2771" t="str">
        <f>IF(Q677="","",IF(Q675&lt;Q677, "WARNING! OE below required minimum.",""))</f>
        <v/>
      </c>
      <c r="O675" s="1747" t="s">
        <v>2029</v>
      </c>
      <c r="Q675" s="2818">
        <f>F674+F683+F694+L670+L678+L688+L694+Q667</f>
        <v>217086</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1000</v>
      </c>
      <c r="M676" s="2590"/>
      <c r="N676" s="2771"/>
      <c r="O676" s="2799" t="s">
        <v>2486</v>
      </c>
      <c r="P676" s="2599">
        <f>+Q675/P514</f>
        <v>4933.772727272727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143000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9500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6500</v>
      </c>
      <c r="G681" s="2590"/>
      <c r="I681" s="1747" t="s">
        <v>1297</v>
      </c>
      <c r="K681" s="1622" t="s">
        <v>3883</v>
      </c>
      <c r="O681" s="1747" t="s">
        <v>3085</v>
      </c>
      <c r="P681" s="1747"/>
      <c r="Q681" s="2600">
        <f>'Part V-Revenues &amp; Expenses'!Q234</f>
        <v>11000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Cable/internet</v>
      </c>
      <c r="C682" s="362"/>
      <c r="D682" s="362"/>
      <c r="E682" s="362"/>
      <c r="F682" s="2590">
        <f>'Part V-Revenues &amp; Expenses'!F235</f>
        <v>2000</v>
      </c>
      <c r="G682" s="2590"/>
      <c r="I682" s="359" t="s">
        <v>1290</v>
      </c>
      <c r="K682" s="2717">
        <f>L682/12/P514</f>
        <v>14.204545454545455</v>
      </c>
      <c r="L682" s="2590">
        <f>'Part V-Revenues &amp; Expenses'!L235</f>
        <v>7500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13250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7.5757575757575752</v>
      </c>
      <c r="L684" s="2590">
        <f>'Part V-Revenues &amp; Expenses'!L237</f>
        <v>4000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16.098484848484848</v>
      </c>
      <c r="L685" s="2590">
        <f>'Part V-Revenues &amp; Expenses'!L238</f>
        <v>8500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2200</v>
      </c>
      <c r="G686" s="2590"/>
      <c r="I686" s="359" t="s">
        <v>6990</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44 units x $250 =</v>
      </c>
      <c r="Q687" s="2837">
        <f>'Part V-Revenues &amp; Expenses'!Q240</f>
        <v>11000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20000</v>
      </c>
      <c r="G688" s="2590"/>
      <c r="K688" s="2828" t="s">
        <v>184</v>
      </c>
      <c r="L688" s="2818">
        <f>SUM(L682:L687)</f>
        <v>20000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5500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1500</v>
      </c>
      <c r="G690" s="2590"/>
      <c r="I690" s="1747" t="s">
        <v>1298</v>
      </c>
      <c r="O690" s="2788" t="s">
        <v>2467</v>
      </c>
      <c r="P690" s="2782">
        <f>'Part V-Revenues &amp; Expenses'!P243</f>
        <v>44</v>
      </c>
      <c r="Q690" s="2838">
        <f>SUM(Q686:Q689)</f>
        <v>11000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6991</v>
      </c>
      <c r="L691" s="2590">
        <f>'Part V-Revenues &amp; Expenses'!L244</f>
        <v>36189</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24135</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turnkey</v>
      </c>
      <c r="C693" s="362"/>
      <c r="D693" s="362"/>
      <c r="E693" s="362"/>
      <c r="F693" s="2590">
        <f>'Part V-Revenues &amp; Expenses'!F246</f>
        <v>1000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35700</v>
      </c>
      <c r="G694" s="2590"/>
      <c r="K694" s="2828" t="s">
        <v>184</v>
      </c>
      <c r="L694" s="2818">
        <f>SUM(L690:L693)</f>
        <v>60324</v>
      </c>
      <c r="M694" s="2818"/>
      <c r="O694" s="1747" t="s">
        <v>2030</v>
      </c>
      <c r="Q694" s="2818">
        <f>Q675+Q681</f>
        <v>228086</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Windsor Crossing,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7500</v>
      </c>
      <c r="H713" s="2814" t="s">
        <v>1768</v>
      </c>
      <c r="K713" s="2842">
        <f>'Part VI-Pro Forma'!K6</f>
        <v>-2.4285503015715477E-2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7.1807375316867525E-2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22176</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325560</v>
      </c>
      <c r="C722" s="2606">
        <f>'Part VI-Pro Forma'!C15</f>
        <v>332071.2</v>
      </c>
      <c r="D722" s="2606">
        <f>'Part VI-Pro Forma'!D15</f>
        <v>338712.62400000001</v>
      </c>
      <c r="E722" s="2606">
        <f>'Part VI-Pro Forma'!E15</f>
        <v>345486.87647999998</v>
      </c>
      <c r="F722" s="2606">
        <f>'Part VI-Pro Forma'!F15</f>
        <v>352396.61400960002</v>
      </c>
      <c r="G722" s="2606">
        <f>'Part VI-Pro Forma'!G15</f>
        <v>359444.54628979199</v>
      </c>
      <c r="H722" s="2606">
        <f>'Part VI-Pro Forma'!H15</f>
        <v>366633.43721558788</v>
      </c>
      <c r="I722" s="2606">
        <f>'Part VI-Pro Forma'!I15</f>
        <v>373966.10595989955</v>
      </c>
      <c r="J722" s="2606">
        <f>'Part VI-Pro Forma'!J15</f>
        <v>381445.42807909759</v>
      </c>
      <c r="K722" s="2606">
        <f>'Part VI-Pro Forma'!K15</f>
        <v>389074.33664067951</v>
      </c>
    </row>
    <row r="723" spans="1:11">
      <c r="A723" s="357" t="s">
        <v>952</v>
      </c>
      <c r="B723" s="2606">
        <f>'Part VI-Pro Forma'!B16</f>
        <v>6511.2</v>
      </c>
      <c r="C723" s="2606">
        <f>'Part VI-Pro Forma'!C16</f>
        <v>6641.424</v>
      </c>
      <c r="D723" s="2606">
        <f>'Part VI-Pro Forma'!D16</f>
        <v>6774.2524800000001</v>
      </c>
      <c r="E723" s="2606">
        <f>'Part VI-Pro Forma'!E16</f>
        <v>6909.7375295999991</v>
      </c>
      <c r="F723" s="2606">
        <f>'Part VI-Pro Forma'!F16</f>
        <v>7047.9322801919998</v>
      </c>
      <c r="G723" s="2606">
        <f>'Part VI-Pro Forma'!G16</f>
        <v>7188.8909257958403</v>
      </c>
      <c r="H723" s="2606">
        <f>'Part VI-Pro Forma'!H16</f>
        <v>7332.6687443117571</v>
      </c>
      <c r="I723" s="2606">
        <f>'Part VI-Pro Forma'!I16</f>
        <v>7479.3221191979901</v>
      </c>
      <c r="J723" s="2606">
        <f>'Part VI-Pro Forma'!J16</f>
        <v>7628.9085615819513</v>
      </c>
      <c r="K723" s="2606">
        <f>'Part VI-Pro Forma'!K16</f>
        <v>7781.4867328135897</v>
      </c>
    </row>
    <row r="724" spans="1:11">
      <c r="A724" s="357" t="s">
        <v>2216</v>
      </c>
      <c r="B724" s="2606">
        <f>'Part VI-Pro Forma'!B17</f>
        <v>-23244.984000000004</v>
      </c>
      <c r="C724" s="2606">
        <f>'Part VI-Pro Forma'!C17</f>
        <v>-23709.883680000003</v>
      </c>
      <c r="D724" s="2606">
        <f>'Part VI-Pro Forma'!D17</f>
        <v>-24184.081353600006</v>
      </c>
      <c r="E724" s="2606">
        <f>'Part VI-Pro Forma'!E17</f>
        <v>-24667.762980672</v>
      </c>
      <c r="F724" s="2606">
        <f>'Part VI-Pro Forma'!F17</f>
        <v>-25161.118240285443</v>
      </c>
      <c r="G724" s="2606">
        <f>'Part VI-Pro Forma'!G17</f>
        <v>-25664.340605091151</v>
      </c>
      <c r="H724" s="2606">
        <f>'Part VI-Pro Forma'!H17</f>
        <v>-26177.62741719298</v>
      </c>
      <c r="I724" s="2606">
        <f>'Part VI-Pro Forma'!I17</f>
        <v>-26701.17996553683</v>
      </c>
      <c r="J724" s="2606">
        <f>'Part VI-Pro Forma'!J17</f>
        <v>-27235.203564847572</v>
      </c>
      <c r="K724" s="2606">
        <f>'Part VI-Pro Forma'!K17</f>
        <v>-27779.907636144519</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308826.21600000001</v>
      </c>
      <c r="C727" s="2606">
        <f>'Part VI-Pro Forma'!C20</f>
        <v>315002.74031999998</v>
      </c>
      <c r="D727" s="2606">
        <f>'Part VI-Pro Forma'!D20</f>
        <v>321302.79512640001</v>
      </c>
      <c r="E727" s="2606">
        <f>'Part VI-Pro Forma'!E20</f>
        <v>327728.85102892795</v>
      </c>
      <c r="F727" s="2606">
        <f>'Part VI-Pro Forma'!F20</f>
        <v>334283.42804950656</v>
      </c>
      <c r="G727" s="2606">
        <f>'Part VI-Pro Forma'!G20</f>
        <v>340969.09661049669</v>
      </c>
      <c r="H727" s="2606">
        <f>'Part VI-Pro Forma'!H20</f>
        <v>347788.4785427067</v>
      </c>
      <c r="I727" s="2606">
        <f>'Part VI-Pro Forma'!I20</f>
        <v>354744.24811356072</v>
      </c>
      <c r="J727" s="2606">
        <f>'Part VI-Pro Forma'!J20</f>
        <v>361839.13307583198</v>
      </c>
      <c r="K727" s="2606">
        <f>'Part VI-Pro Forma'!K20</f>
        <v>369075.91573734861</v>
      </c>
    </row>
    <row r="728" spans="1:11">
      <c r="A728" s="357" t="s">
        <v>572</v>
      </c>
      <c r="B728" s="2606">
        <f>'Part VI-Pro Forma'!B21</f>
        <v>-194910</v>
      </c>
      <c r="C728" s="2606">
        <f>'Part VI-Pro Forma'!C21</f>
        <v>-200757.30000000002</v>
      </c>
      <c r="D728" s="2606">
        <f>'Part VI-Pro Forma'!D21</f>
        <v>-206780.019</v>
      </c>
      <c r="E728" s="2606">
        <f>'Part VI-Pro Forma'!E21</f>
        <v>-212983.41957</v>
      </c>
      <c r="F728" s="2606">
        <f>'Part VI-Pro Forma'!F21</f>
        <v>-219372.92215709999</v>
      </c>
      <c r="G728" s="2606">
        <f>'Part VI-Pro Forma'!G21</f>
        <v>-225954.10982181298</v>
      </c>
      <c r="H728" s="2606">
        <f>'Part VI-Pro Forma'!H21</f>
        <v>-232732.73311646737</v>
      </c>
      <c r="I728" s="2606">
        <f>'Part VI-Pro Forma'!I21</f>
        <v>-239714.7151099614</v>
      </c>
      <c r="J728" s="2606">
        <f>'Part VI-Pro Forma'!J21</f>
        <v>-246906.15656326021</v>
      </c>
      <c r="K728" s="2606">
        <f>'Part VI-Pro Forma'!K21</f>
        <v>-254313.34126015805</v>
      </c>
    </row>
    <row r="729" spans="1:11">
      <c r="A729" s="357" t="s">
        <v>1050</v>
      </c>
      <c r="B729" s="2606">
        <f>'Part VI-Pro Forma'!B22</f>
        <v>-22176</v>
      </c>
      <c r="C729" s="2606">
        <f>'Part VI-Pro Forma'!C22</f>
        <v>-22841</v>
      </c>
      <c r="D729" s="2606">
        <f>'Part VI-Pro Forma'!D22</f>
        <v>-23527</v>
      </c>
      <c r="E729" s="2606">
        <f>'Part VI-Pro Forma'!E22</f>
        <v>-24232</v>
      </c>
      <c r="F729" s="2606">
        <f>'Part VI-Pro Forma'!F22</f>
        <v>-24959</v>
      </c>
      <c r="G729" s="2606">
        <f>'Part VI-Pro Forma'!G22</f>
        <v>-25708</v>
      </c>
      <c r="H729" s="2606">
        <f>'Part VI-Pro Forma'!H22</f>
        <v>-26479</v>
      </c>
      <c r="I729" s="2606">
        <f>'Part VI-Pro Forma'!I22</f>
        <v>-27274</v>
      </c>
      <c r="J729" s="2606">
        <f>'Part VI-Pro Forma'!J22</f>
        <v>-28092</v>
      </c>
      <c r="K729" s="2606">
        <f>'Part VI-Pro Forma'!K22</f>
        <v>-28935</v>
      </c>
    </row>
    <row r="730" spans="1:11">
      <c r="A730" s="357" t="s">
        <v>1128</v>
      </c>
      <c r="B730" s="2606">
        <f>'Part VI-Pro Forma'!B23</f>
        <v>-11000</v>
      </c>
      <c r="C730" s="2606">
        <f>'Part VI-Pro Forma'!C23</f>
        <v>-11330</v>
      </c>
      <c r="D730" s="2606">
        <f>'Part VI-Pro Forma'!D23</f>
        <v>-11669.9</v>
      </c>
      <c r="E730" s="2606">
        <f>'Part VI-Pro Forma'!E23</f>
        <v>-12019.996999999999</v>
      </c>
      <c r="F730" s="2606">
        <f>'Part VI-Pro Forma'!F23</f>
        <v>-12380.596909999998</v>
      </c>
      <c r="G730" s="2606">
        <f>'Part VI-Pro Forma'!G23</f>
        <v>-12752.014817299998</v>
      </c>
      <c r="H730" s="2606">
        <f>'Part VI-Pro Forma'!H23</f>
        <v>-13134.575261819</v>
      </c>
      <c r="I730" s="2606">
        <f>'Part VI-Pro Forma'!I23</f>
        <v>-13528.61251967357</v>
      </c>
      <c r="J730" s="2606">
        <f>'Part VI-Pro Forma'!J23</f>
        <v>-13934.470895263776</v>
      </c>
      <c r="K730" s="2606">
        <f>'Part VI-Pro Forma'!K23</f>
        <v>-14352.50502212169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80740.216000000015</v>
      </c>
      <c r="C732" s="2606">
        <f t="shared" ref="C732:J732" si="377">SUM(C727:C731)</f>
        <v>80074.440319999965</v>
      </c>
      <c r="D732" s="2606">
        <f t="shared" si="377"/>
        <v>79325.87612640002</v>
      </c>
      <c r="E732" s="2606">
        <f t="shared" si="377"/>
        <v>78493.43445892795</v>
      </c>
      <c r="F732" s="2606">
        <f t="shared" si="377"/>
        <v>77570.908982406574</v>
      </c>
      <c r="G732" s="2606">
        <f t="shared" si="377"/>
        <v>76554.971971383726</v>
      </c>
      <c r="H732" s="2606">
        <f t="shared" si="377"/>
        <v>75442.170164420328</v>
      </c>
      <c r="I732" s="2606">
        <f t="shared" si="377"/>
        <v>74226.920483925758</v>
      </c>
      <c r="J732" s="2606">
        <f t="shared" si="377"/>
        <v>72906.505617307994</v>
      </c>
      <c r="K732" s="2606">
        <f>SUM(K727:K731)</f>
        <v>71475.069455068864</v>
      </c>
    </row>
    <row r="733" spans="1:11">
      <c r="A733" s="357" t="s">
        <v>1486</v>
      </c>
      <c r="B733" s="2606">
        <f>'Part VI-Pro Forma'!B26</f>
        <v>-54998.516249654567</v>
      </c>
      <c r="C733" s="2606">
        <f>'Part VI-Pro Forma'!C26</f>
        <v>-54998.516249654567</v>
      </c>
      <c r="D733" s="2606">
        <f>'Part VI-Pro Forma'!D26</f>
        <v>-54998.516249654567</v>
      </c>
      <c r="E733" s="2606">
        <f>'Part VI-Pro Forma'!E26</f>
        <v>-54998.516249654567</v>
      </c>
      <c r="F733" s="2606">
        <f>'Part VI-Pro Forma'!F26</f>
        <v>-54998.516249654567</v>
      </c>
      <c r="G733" s="2606">
        <f>'Part VI-Pro Forma'!G26</f>
        <v>-54998.516249654567</v>
      </c>
      <c r="H733" s="2606">
        <f>'Part VI-Pro Forma'!H26</f>
        <v>-54998.516249654567</v>
      </c>
      <c r="I733" s="2606">
        <f>'Part VI-Pro Forma'!I26</f>
        <v>-54998.516249654567</v>
      </c>
      <c r="J733" s="2606">
        <f>'Part VI-Pro Forma'!J26</f>
        <v>-54998.516249654567</v>
      </c>
      <c r="K733" s="2606">
        <f>'Part VI-Pro Forma'!K26</f>
        <v>-54998.516249654567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3361</v>
      </c>
      <c r="B739" s="2606">
        <f>'Part VI-Pro Forma'!B32</f>
        <v>-5590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12651.699750345448</v>
      </c>
      <c r="C740" s="2606">
        <f t="shared" si="378"/>
        <v>17575.924070345398</v>
      </c>
      <c r="D740" s="2606">
        <f t="shared" si="378"/>
        <v>16827.359876745453</v>
      </c>
      <c r="E740" s="2606">
        <f t="shared" si="378"/>
        <v>15994.918209273383</v>
      </c>
      <c r="F740" s="2606">
        <f t="shared" si="378"/>
        <v>15072.392732752007</v>
      </c>
      <c r="G740" s="2606">
        <f t="shared" si="378"/>
        <v>14056.455721729159</v>
      </c>
      <c r="H740" s="2606">
        <f t="shared" si="378"/>
        <v>12943.65391476576</v>
      </c>
      <c r="I740" s="2606">
        <f t="shared" si="378"/>
        <v>11728.404234271191</v>
      </c>
      <c r="J740" s="2606">
        <f t="shared" si="378"/>
        <v>10407.989367653427</v>
      </c>
      <c r="K740" s="2606">
        <f t="shared" si="378"/>
        <v>8976.5532054142968</v>
      </c>
    </row>
    <row r="741" spans="1:11">
      <c r="A741" s="357" t="str">
        <f>IF('Part II-Sources of Funds'!$E$40 = "Neither", "", "DCR Mortgage A")</f>
        <v>DCR Mortgage A</v>
      </c>
      <c r="B741" s="2607">
        <f t="shared" ref="B741:K741" si="379">IF(B733=0,"",-B732/B733)</f>
        <v>1.4680435310926616</v>
      </c>
      <c r="C741" s="2607">
        <f t="shared" si="379"/>
        <v>1.4559381921599184</v>
      </c>
      <c r="D741" s="2607">
        <f t="shared" si="379"/>
        <v>1.4423275669168303</v>
      </c>
      <c r="E741" s="2607">
        <f t="shared" si="379"/>
        <v>1.427191855551575</v>
      </c>
      <c r="F741" s="2607">
        <f t="shared" si="379"/>
        <v>1.4104182125621212</v>
      </c>
      <c r="G741" s="2607">
        <f t="shared" si="379"/>
        <v>1.3919461322170588</v>
      </c>
      <c r="H741" s="2607">
        <f t="shared" si="379"/>
        <v>1.3717128262509111</v>
      </c>
      <c r="I741" s="2607">
        <f t="shared" si="379"/>
        <v>1.3496167814234798</v>
      </c>
      <c r="J741" s="2607">
        <f t="shared" si="379"/>
        <v>1.325608590718407</v>
      </c>
      <c r="K741" s="2607">
        <f t="shared" si="379"/>
        <v>1.2995817765450679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1.4680435310926616</v>
      </c>
      <c r="C745" s="2607">
        <f t="shared" si="383"/>
        <v>1.4559381921599184</v>
      </c>
      <c r="D745" s="2607">
        <f t="shared" si="383"/>
        <v>1.4423275669168303</v>
      </c>
      <c r="E745" s="2607">
        <f t="shared" si="383"/>
        <v>1.427191855551575</v>
      </c>
      <c r="F745" s="2607">
        <f t="shared" si="383"/>
        <v>1.4104182125621212</v>
      </c>
      <c r="G745" s="2607">
        <f t="shared" si="383"/>
        <v>1.3919461322170588</v>
      </c>
      <c r="H745" s="2607">
        <f t="shared" si="383"/>
        <v>1.3717128262509111</v>
      </c>
      <c r="I745" s="2607">
        <f t="shared" si="383"/>
        <v>1.3496167814234798</v>
      </c>
      <c r="J745" s="2607">
        <f t="shared" si="383"/>
        <v>1.325608590718407</v>
      </c>
      <c r="K745" s="2607">
        <f t="shared" si="383"/>
        <v>1.2995817765450679</v>
      </c>
    </row>
    <row r="746" spans="1:11">
      <c r="A746" s="357" t="s">
        <v>718</v>
      </c>
      <c r="B746" s="2608">
        <f t="shared" ref="B746:K746" si="384">IF(OR(B729="Choose mgt fee",B729="Choose One!"),"",(B722+B723+B724+B725+B726) / -(B728+B729+B730))</f>
        <v>1.353990231754689</v>
      </c>
      <c r="C746" s="2608">
        <f t="shared" si="384"/>
        <v>1.3408462936138386</v>
      </c>
      <c r="D746" s="2608">
        <f t="shared" si="384"/>
        <v>1.3278241431216835</v>
      </c>
      <c r="E746" s="2608">
        <f t="shared" si="384"/>
        <v>1.3149369200379368</v>
      </c>
      <c r="F746" s="2608">
        <f t="shared" si="384"/>
        <v>1.3021703392740693</v>
      </c>
      <c r="G746" s="2608">
        <f t="shared" si="384"/>
        <v>1.2895267871028833</v>
      </c>
      <c r="H746" s="2608">
        <f t="shared" si="384"/>
        <v>1.2770082348964023</v>
      </c>
      <c r="I746" s="2608">
        <f t="shared" si="384"/>
        <v>1.264607256568218</v>
      </c>
      <c r="J746" s="2608">
        <f t="shared" si="384"/>
        <v>1.2523304697659097</v>
      </c>
      <c r="K746" s="2608">
        <f t="shared" si="384"/>
        <v>1.2401709213799528</v>
      </c>
    </row>
    <row r="747" spans="1:11">
      <c r="A747" s="357" t="s">
        <v>2405</v>
      </c>
      <c r="B747" s="2606">
        <f>'Part VI-Pro Forma'!B40</f>
        <v>877567.66420914349</v>
      </c>
      <c r="C747" s="2606">
        <f>'Part VI-Pro Forma'!C40</f>
        <v>854300.39127155475</v>
      </c>
      <c r="D747" s="2606">
        <f>'Part VI-Pro Forma'!D40</f>
        <v>830167.10461787891</v>
      </c>
      <c r="E747" s="2606">
        <f>'Part VI-Pro Forma'!E40</f>
        <v>805135.5710010801</v>
      </c>
      <c r="F747" s="2606">
        <f>'Part VI-Pro Forma'!F40</f>
        <v>779172.35744460847</v>
      </c>
      <c r="G747" s="2606">
        <f>'Part VI-Pro Forma'!G40</f>
        <v>752242.78658816824</v>
      </c>
      <c r="H747" s="2606">
        <f>'Part VI-Pro Forma'!H40</f>
        <v>724310.89037144312</v>
      </c>
      <c r="I747" s="2606">
        <f>'Part VI-Pro Forma'!I40</f>
        <v>695339.36199391901</v>
      </c>
      <c r="J747" s="2606">
        <f>'Part VI-Pro Forma'!J40</f>
        <v>665289.50608663925</v>
      </c>
      <c r="K747" s="2606">
        <f>'Part VI-Pro Forma'!K40</f>
        <v>634121.18702933972</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396855.8233734931</v>
      </c>
      <c r="C754" s="2606">
        <f>'Part VI-Pro Forma'!C47</f>
        <v>404792.93984096294</v>
      </c>
      <c r="D754" s="2606">
        <f>'Part VI-Pro Forma'!D47</f>
        <v>412888.79863778222</v>
      </c>
      <c r="E754" s="2606">
        <f>'Part VI-Pro Forma'!E47</f>
        <v>421146.57461053785</v>
      </c>
      <c r="F754" s="2606">
        <f>'Part VI-Pro Forma'!F47</f>
        <v>429569.50610274868</v>
      </c>
      <c r="G754" s="2606">
        <f>'Part VI-Pro Forma'!G47</f>
        <v>438160.89622480352</v>
      </c>
      <c r="H754" s="2606">
        <f>'Part VI-Pro Forma'!H47</f>
        <v>446924.11414929968</v>
      </c>
      <c r="I754" s="2606">
        <f>'Part VI-Pro Forma'!I47</f>
        <v>455862.59643228567</v>
      </c>
      <c r="J754" s="2606">
        <f>'Part VI-Pro Forma'!J47</f>
        <v>464979.84836093133</v>
      </c>
      <c r="K754" s="2606">
        <f>'Part VI-Pro Forma'!K47</f>
        <v>474279.44532814994</v>
      </c>
    </row>
    <row r="755" spans="1:11">
      <c r="A755" s="357" t="s">
        <v>952</v>
      </c>
      <c r="B755" s="2606">
        <f>'Part VI-Pro Forma'!B48</f>
        <v>7937.1164674698621</v>
      </c>
      <c r="C755" s="2606">
        <f>'Part VI-Pro Forma'!C48</f>
        <v>8095.8587968192578</v>
      </c>
      <c r="D755" s="2606">
        <f>'Part VI-Pro Forma'!D48</f>
        <v>8257.775972755644</v>
      </c>
      <c r="E755" s="2606">
        <f>'Part VI-Pro Forma'!E48</f>
        <v>8422.9314922107569</v>
      </c>
      <c r="F755" s="2606">
        <f>'Part VI-Pro Forma'!F48</f>
        <v>8591.3901220549724</v>
      </c>
      <c r="G755" s="2606">
        <f>'Part VI-Pro Forma'!G48</f>
        <v>8763.2179244960698</v>
      </c>
      <c r="H755" s="2606">
        <f>'Part VI-Pro Forma'!H48</f>
        <v>8938.4822829859932</v>
      </c>
      <c r="I755" s="2606">
        <f>'Part VI-Pro Forma'!I48</f>
        <v>9117.2519286457136</v>
      </c>
      <c r="J755" s="2606">
        <f>'Part VI-Pro Forma'!J48</f>
        <v>9299.5969672186275</v>
      </c>
      <c r="K755" s="2606">
        <f>'Part VI-Pro Forma'!K48</f>
        <v>9485.5889065629981</v>
      </c>
    </row>
    <row r="756" spans="1:11">
      <c r="A756" s="357" t="s">
        <v>2216</v>
      </c>
      <c r="B756" s="2606">
        <f>'Part VI-Pro Forma'!B49</f>
        <v>-28335.505788867409</v>
      </c>
      <c r="C756" s="2606">
        <f>'Part VI-Pro Forma'!C49</f>
        <v>-28902.215904644756</v>
      </c>
      <c r="D756" s="2606">
        <f>'Part VI-Pro Forma'!D49</f>
        <v>-29480.260222737652</v>
      </c>
      <c r="E756" s="2606">
        <f>'Part VI-Pro Forma'!E49</f>
        <v>-30069.865427192406</v>
      </c>
      <c r="F756" s="2606">
        <f>'Part VI-Pro Forma'!F49</f>
        <v>-30671.262735736258</v>
      </c>
      <c r="G756" s="2606">
        <f>'Part VI-Pro Forma'!G49</f>
        <v>-31284.687990450973</v>
      </c>
      <c r="H756" s="2606">
        <f>'Part VI-Pro Forma'!H49</f>
        <v>-31910.38175026</v>
      </c>
      <c r="I756" s="2606">
        <f>'Part VI-Pro Forma'!I49</f>
        <v>-32548.589385265201</v>
      </c>
      <c r="J756" s="2606">
        <f>'Part VI-Pro Forma'!J49</f>
        <v>-33199.561172970498</v>
      </c>
      <c r="K756" s="2606">
        <f>'Part VI-Pro Forma'!K49</f>
        <v>-33863.552396429906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376457.43405209552</v>
      </c>
      <c r="C759" s="2606">
        <f>'Part VI-Pro Forma'!C52</f>
        <v>383986.58273313742</v>
      </c>
      <c r="D759" s="2606">
        <f>'Part VI-Pro Forma'!D52</f>
        <v>391666.31438780017</v>
      </c>
      <c r="E759" s="2606">
        <f>'Part VI-Pro Forma'!E52</f>
        <v>399499.64067555621</v>
      </c>
      <c r="F759" s="2606">
        <f>'Part VI-Pro Forma'!F52</f>
        <v>407489.63348906738</v>
      </c>
      <c r="G759" s="2606">
        <f>'Part VI-Pro Forma'!G52</f>
        <v>415639.42615884857</v>
      </c>
      <c r="H759" s="2606">
        <f>'Part VI-Pro Forma'!H52</f>
        <v>423952.21468202566</v>
      </c>
      <c r="I759" s="2606">
        <f>'Part VI-Pro Forma'!I52</f>
        <v>432431.25897566619</v>
      </c>
      <c r="J759" s="2606">
        <f>'Part VI-Pro Forma'!J52</f>
        <v>441079.88415517943</v>
      </c>
      <c r="K759" s="2606">
        <f>'Part VI-Pro Forma'!K52</f>
        <v>449901.48183828301</v>
      </c>
    </row>
    <row r="760" spans="1:11">
      <c r="A760" s="357" t="s">
        <v>572</v>
      </c>
      <c r="B760" s="2606">
        <f>'Part VI-Pro Forma'!B53</f>
        <v>-261942.74149796276</v>
      </c>
      <c r="C760" s="2606">
        <f>'Part VI-Pro Forma'!C53</f>
        <v>-269801.02374290169</v>
      </c>
      <c r="D760" s="2606">
        <f>'Part VI-Pro Forma'!D53</f>
        <v>-277895.05445518869</v>
      </c>
      <c r="E760" s="2606">
        <f>'Part VI-Pro Forma'!E53</f>
        <v>-286231.90608884435</v>
      </c>
      <c r="F760" s="2606">
        <f>'Part VI-Pro Forma'!F53</f>
        <v>-294818.8632715097</v>
      </c>
      <c r="G760" s="2606">
        <f>'Part VI-Pro Forma'!G53</f>
        <v>-303663.42916965502</v>
      </c>
      <c r="H760" s="2606">
        <f>'Part VI-Pro Forma'!H53</f>
        <v>-312773.33204474457</v>
      </c>
      <c r="I760" s="2606">
        <f>'Part VI-Pro Forma'!I53</f>
        <v>-322156.5320060869</v>
      </c>
      <c r="J760" s="2606">
        <f>'Part VI-Pro Forma'!J53</f>
        <v>-331821.22796626954</v>
      </c>
      <c r="K760" s="2606">
        <f>'Part VI-Pro Forma'!K53</f>
        <v>-341775.86480525759</v>
      </c>
    </row>
    <row r="761" spans="1:11">
      <c r="A761" s="357" t="s">
        <v>1050</v>
      </c>
      <c r="B761" s="2606">
        <f>'Part VI-Pro Forma'!B54</f>
        <v>-29803</v>
      </c>
      <c r="C761" s="2606">
        <f>'Part VI-Pro Forma'!C54</f>
        <v>-30697</v>
      </c>
      <c r="D761" s="2606">
        <f>'Part VI-Pro Forma'!D54</f>
        <v>-31618</v>
      </c>
      <c r="E761" s="2606">
        <f>'Part VI-Pro Forma'!E54</f>
        <v>-32566</v>
      </c>
      <c r="F761" s="2606">
        <f>'Part VI-Pro Forma'!F54</f>
        <v>-33543</v>
      </c>
      <c r="G761" s="2606">
        <f>'Part VI-Pro Forma'!G54</f>
        <v>-34549</v>
      </c>
      <c r="H761" s="2606">
        <f>'Part VI-Pro Forma'!H54</f>
        <v>-35586</v>
      </c>
      <c r="I761" s="2606">
        <f>'Part VI-Pro Forma'!I54</f>
        <v>-36654</v>
      </c>
      <c r="J761" s="2606">
        <f>'Part VI-Pro Forma'!J54</f>
        <v>-37753</v>
      </c>
      <c r="K761" s="2606">
        <f>'Part VI-Pro Forma'!K54</f>
        <v>-38886</v>
      </c>
    </row>
    <row r="762" spans="1:11">
      <c r="A762" s="357" t="s">
        <v>1128</v>
      </c>
      <c r="B762" s="2606">
        <f>'Part VI-Pro Forma'!B55</f>
        <v>-14783.08017278534</v>
      </c>
      <c r="C762" s="2606">
        <f>'Part VI-Pro Forma'!C55</f>
        <v>-15226.5725779689</v>
      </c>
      <c r="D762" s="2606">
        <f>'Part VI-Pro Forma'!D55</f>
        <v>-15683.369755307966</v>
      </c>
      <c r="E762" s="2606">
        <f>'Part VI-Pro Forma'!E55</f>
        <v>-16153.870847967202</v>
      </c>
      <c r="F762" s="2606">
        <f>'Part VI-Pro Forma'!F55</f>
        <v>-16638.486973406219</v>
      </c>
      <c r="G762" s="2606">
        <f>'Part VI-Pro Forma'!G55</f>
        <v>-17137.641582608408</v>
      </c>
      <c r="H762" s="2606">
        <f>'Part VI-Pro Forma'!H55</f>
        <v>-17651.770830086658</v>
      </c>
      <c r="I762" s="2606">
        <f>'Part VI-Pro Forma'!I55</f>
        <v>-18181.323954989257</v>
      </c>
      <c r="J762" s="2606">
        <f>'Part VI-Pro Forma'!J55</f>
        <v>-18726.763673638936</v>
      </c>
      <c r="K762" s="2606">
        <f>'Part VI-Pro Forma'!K55</f>
        <v>-19288.566583848104</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69928.612381347411</v>
      </c>
      <c r="C764" s="2606">
        <f t="shared" si="386"/>
        <v>68261.986412266837</v>
      </c>
      <c r="D764" s="2606">
        <f t="shared" si="386"/>
        <v>66469.890177303518</v>
      </c>
      <c r="E764" s="2606">
        <f t="shared" si="386"/>
        <v>64547.863738744651</v>
      </c>
      <c r="F764" s="2606">
        <f t="shared" si="386"/>
        <v>62489.283244151447</v>
      </c>
      <c r="G764" s="2606">
        <f t="shared" si="386"/>
        <v>60289.355406585135</v>
      </c>
      <c r="H764" s="2606">
        <f t="shared" si="386"/>
        <v>57941.111807194429</v>
      </c>
      <c r="I764" s="2606">
        <f t="shared" si="386"/>
        <v>55439.403014590032</v>
      </c>
      <c r="J764" s="2606">
        <f t="shared" si="386"/>
        <v>52778.892515270956</v>
      </c>
      <c r="K764" s="2606">
        <f t="shared" si="386"/>
        <v>49951.050449177317</v>
      </c>
    </row>
    <row r="765" spans="1:11">
      <c r="A765" s="357" t="str">
        <f>$A733</f>
        <v>Mortgage A</v>
      </c>
      <c r="B765" s="2606">
        <f>'Part VI-Pro Forma'!B58</f>
        <v>-52047.243378441242</v>
      </c>
      <c r="C765" s="2606">
        <f>'Part VI-Pro Forma'!C58</f>
        <v>-52047.243378441242</v>
      </c>
      <c r="D765" s="2606">
        <f>'Part VI-Pro Forma'!D58</f>
        <v>-52047.243378441242</v>
      </c>
      <c r="E765" s="2606">
        <f>'Part VI-Pro Forma'!E58</f>
        <v>-52047.243378441242</v>
      </c>
      <c r="F765" s="2606">
        <f>'Part VI-Pro Forma'!F58</f>
        <v>-52047.243378441242</v>
      </c>
      <c r="G765" s="2606">
        <f>'Part VI-Pro Forma'!G58</f>
        <v>-52047.243378441242</v>
      </c>
      <c r="H765" s="2606">
        <f>'Part VI-Pro Forma'!H58</f>
        <v>-52047.243378441242</v>
      </c>
      <c r="I765" s="2606">
        <f>'Part VI-Pro Forma'!I58</f>
        <v>-52047.243378441242</v>
      </c>
      <c r="J765" s="2606">
        <f>'Part VI-Pro Forma'!J58</f>
        <v>-52047.243378441242</v>
      </c>
      <c r="K765" s="2606">
        <f>'Part VI-Pro Forma'!K58</f>
        <v>-52047.243378441242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10381.369002906169</v>
      </c>
      <c r="C772" s="2606">
        <f t="shared" si="387"/>
        <v>8714.7430338255945</v>
      </c>
      <c r="D772" s="2606">
        <f t="shared" si="387"/>
        <v>6922.6467988622753</v>
      </c>
      <c r="E772" s="2606">
        <f t="shared" si="387"/>
        <v>5000.6203603034082</v>
      </c>
      <c r="F772" s="2606">
        <f t="shared" si="387"/>
        <v>2942.039865710205</v>
      </c>
      <c r="G772" s="2606">
        <f t="shared" si="387"/>
        <v>742.11202814389253</v>
      </c>
      <c r="H772" s="2606">
        <f t="shared" si="387"/>
        <v>-1606.1315712468131</v>
      </c>
      <c r="I772" s="2606">
        <f t="shared" si="387"/>
        <v>-4107.84036385121</v>
      </c>
      <c r="J772" s="2606">
        <f t="shared" si="387"/>
        <v>-6768.3508631702862</v>
      </c>
      <c r="K772" s="2606">
        <f t="shared" si="387"/>
        <v>-9596.1929292639252</v>
      </c>
    </row>
    <row r="773" spans="1:11">
      <c r="A773" s="357" t="str">
        <f>$A741</f>
        <v>DCR Mortgage A</v>
      </c>
      <c r="B773" s="2607">
        <f t="shared" ref="B773:K773" si="388">IF(B765=0,"",-B764/B765)</f>
        <v>1.3435603471424753</v>
      </c>
      <c r="C773" s="2607">
        <f t="shared" si="388"/>
        <v>1.3115389400342763</v>
      </c>
      <c r="D773" s="2607">
        <f t="shared" si="388"/>
        <v>1.277106833382003</v>
      </c>
      <c r="E773" s="2607">
        <f t="shared" si="388"/>
        <v>1.2401783370045176</v>
      </c>
      <c r="F773" s="2607">
        <f t="shared" si="388"/>
        <v>1.2006261847488249</v>
      </c>
      <c r="G773" s="2607">
        <f t="shared" si="388"/>
        <v>1.1583582816906284</v>
      </c>
      <c r="H773" s="2607">
        <f t="shared" si="388"/>
        <v>1.1132407414144534</v>
      </c>
      <c r="I773" s="2607">
        <f t="shared" si="388"/>
        <v>1.0651746262810506</v>
      </c>
      <c r="J773" s="2607">
        <f t="shared" si="388"/>
        <v>1.0140574041839221</v>
      </c>
      <c r="K773" s="2607">
        <f t="shared" si="388"/>
        <v>0.95972518824825603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1.3435603471424753</v>
      </c>
      <c r="C777" s="2607">
        <f t="shared" si="392"/>
        <v>1.3115389400342763</v>
      </c>
      <c r="D777" s="2607">
        <f t="shared" si="392"/>
        <v>1.277106833382003</v>
      </c>
      <c r="E777" s="2607">
        <f t="shared" si="392"/>
        <v>1.2401783370045176</v>
      </c>
      <c r="F777" s="2607">
        <f t="shared" si="392"/>
        <v>1.2006261847488249</v>
      </c>
      <c r="G777" s="2607">
        <f t="shared" si="392"/>
        <v>1.1583582816906284</v>
      </c>
      <c r="H777" s="2607">
        <f t="shared" si="392"/>
        <v>1.1132407414144534</v>
      </c>
      <c r="I777" s="2607">
        <f t="shared" si="392"/>
        <v>1.0651746262810506</v>
      </c>
      <c r="J777" s="2607">
        <f t="shared" si="392"/>
        <v>1.0140574041839221</v>
      </c>
      <c r="K777" s="2607">
        <f t="shared" si="392"/>
        <v>0.95972518824825603</v>
      </c>
    </row>
    <row r="778" spans="1:11">
      <c r="A778" s="357" t="s">
        <v>718</v>
      </c>
      <c r="B778" s="2608">
        <f t="shared" ref="B778:K778" si="393">IF(OR(B761="Choose mgt fee",B761="Choose One!"),"",(B754+B755+B756+B757+B758) / -(B760+B761+B762))</f>
        <v>1.2281306273263266</v>
      </c>
      <c r="C778" s="2608">
        <f t="shared" si="393"/>
        <v>1.2162073756929987</v>
      </c>
      <c r="D778" s="2608">
        <f t="shared" si="393"/>
        <v>1.2043992037694675</v>
      </c>
      <c r="E778" s="2608">
        <f t="shared" si="393"/>
        <v>1.1927079304640367</v>
      </c>
      <c r="F778" s="2608">
        <f t="shared" si="393"/>
        <v>1.181128173347622</v>
      </c>
      <c r="G778" s="2608">
        <f t="shared" si="393"/>
        <v>1.1696618640850549</v>
      </c>
      <c r="H778" s="2608">
        <f t="shared" si="393"/>
        <v>1.1583042463796764</v>
      </c>
      <c r="I778" s="2608">
        <f t="shared" si="393"/>
        <v>1.1470572961669339</v>
      </c>
      <c r="J778" s="2608">
        <f t="shared" si="393"/>
        <v>1.135922631287575</v>
      </c>
      <c r="K778" s="2608">
        <f t="shared" si="393"/>
        <v>1.1248931030670166</v>
      </c>
    </row>
    <row r="779" spans="1:11">
      <c r="A779" s="357" t="s">
        <v>2405</v>
      </c>
      <c r="B779" s="2606">
        <f>'Part VI-Pro Forma'!B72</f>
        <v>623871.38397576881</v>
      </c>
      <c r="C779" s="2606">
        <f>'Part VI-Pro Forma'!C72</f>
        <v>612919.8946410045</v>
      </c>
      <c r="D779" s="2606">
        <f>'Part VI-Pro Forma'!D72</f>
        <v>601218.6826252602</v>
      </c>
      <c r="E779" s="2606">
        <f>'Part VI-Pro Forma'!E72</f>
        <v>588716.4230282238</v>
      </c>
      <c r="F779" s="2606">
        <f>'Part VI-Pro Forma'!F72</f>
        <v>575358.2773231999</v>
      </c>
      <c r="G779" s="2606">
        <f>'Part VI-Pro Forma'!G72</f>
        <v>561085.6528194705</v>
      </c>
      <c r="H779" s="2606">
        <f>'Part VI-Pro Forma'!H72</f>
        <v>545835.94565780624</v>
      </c>
      <c r="I779" s="2606">
        <f>'Part VI-Pro Forma'!I72</f>
        <v>529542.26621183264</v>
      </c>
      <c r="J779" s="2606">
        <f>'Part VI-Pro Forma'!J72</f>
        <v>512133.14569078211</v>
      </c>
      <c r="K779" s="2606">
        <f>'Part VI-Pro Forma'!K72</f>
        <v>493532.22265670588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483765.03423471301</v>
      </c>
      <c r="C786" s="2606">
        <f>'Part VI-Pro Forma'!C79</f>
        <v>493440.33491940721</v>
      </c>
      <c r="D786" s="2606">
        <f>'Part VI-Pro Forma'!D79</f>
        <v>503309.14161779539</v>
      </c>
      <c r="E786" s="2606">
        <f>'Part VI-Pro Forma'!E79</f>
        <v>513375.32445015124</v>
      </c>
      <c r="F786" s="2606">
        <f>'Part VI-Pro Forma'!F79</f>
        <v>523642.83093915426</v>
      </c>
      <c r="G786" s="2606">
        <f>'Part VI-Pro Forma'!G79</f>
        <v>534115.68755793734</v>
      </c>
      <c r="H786" s="2606">
        <f>'Part VI-Pro Forma'!H79</f>
        <v>544798.00130909611</v>
      </c>
      <c r="I786" s="2606">
        <f>'Part VI-Pro Forma'!I79</f>
        <v>555693.961335278</v>
      </c>
      <c r="J786" s="2606">
        <f>'Part VI-Pro Forma'!J79</f>
        <v>566807.84056198364</v>
      </c>
      <c r="K786" s="2606">
        <f>'Part VI-Pro Forma'!K79</f>
        <v>578143.99737322319</v>
      </c>
    </row>
    <row r="787" spans="1:11">
      <c r="A787" s="357" t="s">
        <v>952</v>
      </c>
      <c r="B787" s="2606">
        <f>'Part VI-Pro Forma'!B80</f>
        <v>9675.300684694259</v>
      </c>
      <c r="C787" s="2606">
        <f>'Part VI-Pro Forma'!C80</f>
        <v>9868.8066983881436</v>
      </c>
      <c r="D787" s="2606">
        <f>'Part VI-Pro Forma'!D80</f>
        <v>10066.182832355908</v>
      </c>
      <c r="E787" s="2606">
        <f>'Part VI-Pro Forma'!E80</f>
        <v>10267.506489003024</v>
      </c>
      <c r="F787" s="2606">
        <f>'Part VI-Pro Forma'!F80</f>
        <v>10472.856618783086</v>
      </c>
      <c r="G787" s="2606">
        <f>'Part VI-Pro Forma'!G80</f>
        <v>10682.313751158747</v>
      </c>
      <c r="H787" s="2606">
        <f>'Part VI-Pro Forma'!H80</f>
        <v>10895.960026181923</v>
      </c>
      <c r="I787" s="2606">
        <f>'Part VI-Pro Forma'!I80</f>
        <v>11113.87922670556</v>
      </c>
      <c r="J787" s="2606">
        <f>'Part VI-Pro Forma'!J80</f>
        <v>11336.156811239673</v>
      </c>
      <c r="K787" s="2606">
        <f>'Part VI-Pro Forma'!K80</f>
        <v>11562.879947464464</v>
      </c>
    </row>
    <row r="788" spans="1:11">
      <c r="A788" s="357" t="s">
        <v>2216</v>
      </c>
      <c r="B788" s="2606">
        <f>'Part VI-Pro Forma'!B81</f>
        <v>-34540.82344435851</v>
      </c>
      <c r="C788" s="2606">
        <f>'Part VI-Pro Forma'!C81</f>
        <v>-35231.639913245679</v>
      </c>
      <c r="D788" s="2606">
        <f>'Part VI-Pro Forma'!D81</f>
        <v>-35936.272711510595</v>
      </c>
      <c r="E788" s="2606">
        <f>'Part VI-Pro Forma'!E81</f>
        <v>-36654.998165740799</v>
      </c>
      <c r="F788" s="2606">
        <f>'Part VI-Pro Forma'!F81</f>
        <v>-37388.098129055616</v>
      </c>
      <c r="G788" s="2606">
        <f>'Part VI-Pro Forma'!G81</f>
        <v>-38135.860091636729</v>
      </c>
      <c r="H788" s="2606">
        <f>'Part VI-Pro Forma'!H81</f>
        <v>-38898.577293469461</v>
      </c>
      <c r="I788" s="2606">
        <f>'Part VI-Pro Forma'!I81</f>
        <v>-39676.548839338851</v>
      </c>
      <c r="J788" s="2606">
        <f>'Part VI-Pro Forma'!J81</f>
        <v>-40470.079816125632</v>
      </c>
      <c r="K788" s="2606">
        <f>'Part VI-Pro Forma'!K81</f>
        <v>-41279.481412448142</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458899.51147504873</v>
      </c>
      <c r="C791" s="2606">
        <f>'Part VI-Pro Forma'!C84</f>
        <v>468077.50170454965</v>
      </c>
      <c r="D791" s="2606">
        <f>'Part VI-Pro Forma'!D84</f>
        <v>477439.0517386407</v>
      </c>
      <c r="E791" s="2606">
        <f>'Part VI-Pro Forma'!E84</f>
        <v>486987.83277341345</v>
      </c>
      <c r="F791" s="2606">
        <f>'Part VI-Pro Forma'!F84</f>
        <v>496727.58942888171</v>
      </c>
      <c r="G791" s="2606">
        <f>'Part VI-Pro Forma'!G84</f>
        <v>506662.1412174594</v>
      </c>
      <c r="H791" s="2606">
        <f>'Part VI-Pro Forma'!H84</f>
        <v>516795.38404180855</v>
      </c>
      <c r="I791" s="2606">
        <f>'Part VI-Pro Forma'!I84</f>
        <v>527131.2917226447</v>
      </c>
      <c r="J791" s="2606">
        <f>'Part VI-Pro Forma'!J84</f>
        <v>537673.91755709762</v>
      </c>
      <c r="K791" s="2606">
        <f>'Part VI-Pro Forma'!K84</f>
        <v>548427.39590823953</v>
      </c>
    </row>
    <row r="792" spans="1:11">
      <c r="A792" s="357" t="s">
        <v>572</v>
      </c>
      <c r="B792" s="2606">
        <f>'Part VI-Pro Forma'!B85</f>
        <v>-352029.14074941532</v>
      </c>
      <c r="C792" s="2606">
        <f>'Part VI-Pro Forma'!C85</f>
        <v>-362590.01497189776</v>
      </c>
      <c r="D792" s="2606">
        <f>'Part VI-Pro Forma'!D85</f>
        <v>-373467.71542105475</v>
      </c>
      <c r="E792" s="2606">
        <f>'Part VI-Pro Forma'!E85</f>
        <v>-384671.7468836864</v>
      </c>
      <c r="F792" s="2606">
        <f>'Part VI-Pro Forma'!F85</f>
        <v>-396211.89929019695</v>
      </c>
      <c r="G792" s="2606">
        <f>'Part VI-Pro Forma'!G85</f>
        <v>-408098.2562689028</v>
      </c>
      <c r="H792" s="2606">
        <f>'Part VI-Pro Forma'!H85</f>
        <v>-420341.20395696996</v>
      </c>
      <c r="I792" s="2606">
        <f>'Part VI-Pro Forma'!I85</f>
        <v>-432951.44007567898</v>
      </c>
      <c r="J792" s="2606">
        <f>'Part VI-Pro Forma'!J85</f>
        <v>-445939.98327794939</v>
      </c>
      <c r="K792" s="2606">
        <f>'Part VI-Pro Forma'!K85</f>
        <v>-459318.18277628784</v>
      </c>
    </row>
    <row r="793" spans="1:11">
      <c r="A793" s="357" t="s">
        <v>1050</v>
      </c>
      <c r="B793" s="2606">
        <f>'Part VI-Pro Forma'!B86</f>
        <v>-40052</v>
      </c>
      <c r="C793" s="2606">
        <f>'Part VI-Pro Forma'!C86</f>
        <v>-41254</v>
      </c>
      <c r="D793" s="2606">
        <f>'Part VI-Pro Forma'!D86</f>
        <v>-42492</v>
      </c>
      <c r="E793" s="2606">
        <f>'Part VI-Pro Forma'!E86</f>
        <v>-43766</v>
      </c>
      <c r="F793" s="2606">
        <f>'Part VI-Pro Forma'!F86</f>
        <v>-45079</v>
      </c>
      <c r="G793" s="2606">
        <f>'Part VI-Pro Forma'!G86</f>
        <v>-46432</v>
      </c>
      <c r="H793" s="2606">
        <f>'Part VI-Pro Forma'!H86</f>
        <v>-47825</v>
      </c>
      <c r="I793" s="2606">
        <f>'Part VI-Pro Forma'!I86</f>
        <v>-49259</v>
      </c>
      <c r="J793" s="2606">
        <f>'Part VI-Pro Forma'!J86</f>
        <v>-50737</v>
      </c>
      <c r="K793" s="2606">
        <f>'Part VI-Pro Forma'!K86</f>
        <v>-52259</v>
      </c>
    </row>
    <row r="794" spans="1:11">
      <c r="A794" s="357" t="s">
        <v>1128</v>
      </c>
      <c r="B794" s="2606">
        <f>'Part VI-Pro Forma'!B87</f>
        <v>-19867.223581363545</v>
      </c>
      <c r="C794" s="2606">
        <f>'Part VI-Pro Forma'!C87</f>
        <v>-20463.240288804449</v>
      </c>
      <c r="D794" s="2606">
        <f>'Part VI-Pro Forma'!D87</f>
        <v>-21077.137497468586</v>
      </c>
      <c r="E794" s="2606">
        <f>'Part VI-Pro Forma'!E87</f>
        <v>-21709.451622392644</v>
      </c>
      <c r="F794" s="2606">
        <f>'Part VI-Pro Forma'!F87</f>
        <v>-22360.735171064422</v>
      </c>
      <c r="G794" s="2606">
        <f>'Part VI-Pro Forma'!G87</f>
        <v>-23031.557226196353</v>
      </c>
      <c r="H794" s="2606">
        <f>'Part VI-Pro Forma'!H87</f>
        <v>-23722.503942982246</v>
      </c>
      <c r="I794" s="2606">
        <f>'Part VI-Pro Forma'!I87</f>
        <v>-24434.179061271712</v>
      </c>
      <c r="J794" s="2606">
        <f>'Part VI-Pro Forma'!J87</f>
        <v>-25167.204433109862</v>
      </c>
      <c r="K794" s="2606">
        <f>'Part VI-Pro Forma'!K87</f>
        <v>-25922.220566103155</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46951.147144269853</v>
      </c>
      <c r="C796" s="2606">
        <f t="shared" si="395"/>
        <v>43770.246443847442</v>
      </c>
      <c r="D796" s="2606">
        <f t="shared" si="395"/>
        <v>40402.198820117366</v>
      </c>
      <c r="E796" s="2606">
        <f t="shared" si="395"/>
        <v>36840.634267334404</v>
      </c>
      <c r="F796" s="2606">
        <f t="shared" si="395"/>
        <v>33075.954967620339</v>
      </c>
      <c r="G796" s="2606">
        <f t="shared" si="395"/>
        <v>29100.327722360249</v>
      </c>
      <c r="H796" s="2606">
        <f t="shared" si="395"/>
        <v>24906.676141856344</v>
      </c>
      <c r="I796" s="2606">
        <f t="shared" si="395"/>
        <v>20486.672585694007</v>
      </c>
      <c r="J796" s="2606">
        <f t="shared" si="395"/>
        <v>15829.729846038372</v>
      </c>
      <c r="K796" s="2606">
        <f t="shared" si="395"/>
        <v>10927.992565848537</v>
      </c>
    </row>
    <row r="797" spans="1:11">
      <c r="A797" s="357" t="str">
        <f>$A765</f>
        <v>Mortgage A</v>
      </c>
      <c r="B797" s="2606">
        <f>'Part VI-Pro Forma'!B90</f>
        <v>-52047.243378441242</v>
      </c>
      <c r="C797" s="2606">
        <f>'Part VI-Pro Forma'!C90</f>
        <v>-52047.243378441242</v>
      </c>
      <c r="D797" s="2606">
        <f>'Part VI-Pro Forma'!D90</f>
        <v>-52047.243378441242</v>
      </c>
      <c r="E797" s="2606">
        <f>'Part VI-Pro Forma'!E90</f>
        <v>-52047.243378441242</v>
      </c>
      <c r="F797" s="2606">
        <f>'Part VI-Pro Forma'!F90</f>
        <v>-52047.243378441242</v>
      </c>
      <c r="G797" s="2606">
        <f>'Part VI-Pro Forma'!G90</f>
        <v>-52047.243378441242</v>
      </c>
      <c r="H797" s="2606">
        <f>'Part VI-Pro Forma'!H90</f>
        <v>-52047.243378441242</v>
      </c>
      <c r="I797" s="2606">
        <f>'Part VI-Pro Forma'!I90</f>
        <v>-52047.243378441242</v>
      </c>
      <c r="J797" s="2606">
        <f>'Part VI-Pro Forma'!J90</f>
        <v>-52047.243378441242</v>
      </c>
      <c r="K797" s="2606">
        <f>'Part VI-Pro Forma'!K90</f>
        <v>-52047.243378441242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-12596.096234171389</v>
      </c>
      <c r="C803" s="2606">
        <f t="shared" si="396"/>
        <v>-15776.996934593801</v>
      </c>
      <c r="D803" s="2606">
        <f t="shared" si="396"/>
        <v>-19145.044558323876</v>
      </c>
      <c r="E803" s="2606">
        <f t="shared" si="396"/>
        <v>-22706.609111106838</v>
      </c>
      <c r="F803" s="2606">
        <f t="shared" si="396"/>
        <v>-26471.288410820904</v>
      </c>
      <c r="G803" s="2606">
        <f t="shared" si="396"/>
        <v>-30446.915656080993</v>
      </c>
      <c r="H803" s="2606">
        <f t="shared" si="396"/>
        <v>-34640.567236584902</v>
      </c>
      <c r="I803" s="2606">
        <f t="shared" si="396"/>
        <v>-39060.570792747239</v>
      </c>
      <c r="J803" s="2606">
        <f t="shared" si="396"/>
        <v>-43717.513532402867</v>
      </c>
      <c r="K803" s="2606">
        <f t="shared" si="396"/>
        <v>-48619.250812592705</v>
      </c>
    </row>
    <row r="804" spans="1:11">
      <c r="A804" s="357" t="str">
        <f>$A773</f>
        <v>DCR Mortgage A</v>
      </c>
      <c r="B804" s="2607">
        <f t="shared" ref="B804:K804" si="397">IF(B797=0,"",-B796/B797)</f>
        <v>0.90208710580275864</v>
      </c>
      <c r="C804" s="2607">
        <f t="shared" si="397"/>
        <v>0.84097146366790565</v>
      </c>
      <c r="D804" s="2607">
        <f t="shared" si="397"/>
        <v>0.77626010903879239</v>
      </c>
      <c r="E804" s="2607">
        <f t="shared" si="397"/>
        <v>0.70783065299850934</v>
      </c>
      <c r="F804" s="2607">
        <f t="shared" si="397"/>
        <v>0.6354986896639544</v>
      </c>
      <c r="G804" s="2607">
        <f t="shared" si="397"/>
        <v>0.55911371733500959</v>
      </c>
      <c r="H804" s="2607">
        <f t="shared" si="397"/>
        <v>0.47853977511848528</v>
      </c>
      <c r="I804" s="2607">
        <f t="shared" si="397"/>
        <v>0.39361686144899455</v>
      </c>
      <c r="J804" s="2607">
        <f t="shared" si="397"/>
        <v>0.30414156098409789</v>
      </c>
      <c r="K804" s="2607">
        <f t="shared" si="397"/>
        <v>0.2099629462868936</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0.90208710580275864</v>
      </c>
      <c r="C808" s="2607">
        <f t="shared" si="401"/>
        <v>0.84097146366790565</v>
      </c>
      <c r="D808" s="2607">
        <f t="shared" si="401"/>
        <v>0.77626010903879239</v>
      </c>
      <c r="E808" s="2607">
        <f t="shared" si="401"/>
        <v>0.70783065299850934</v>
      </c>
      <c r="F808" s="2607">
        <f t="shared" si="401"/>
        <v>0.6354986896639544</v>
      </c>
      <c r="G808" s="2607">
        <f t="shared" si="401"/>
        <v>0.55911371733500959</v>
      </c>
      <c r="H808" s="2607">
        <f t="shared" si="401"/>
        <v>0.47853977511848528</v>
      </c>
      <c r="I808" s="2607">
        <f t="shared" si="401"/>
        <v>0.39361686144899455</v>
      </c>
      <c r="J808" s="2607">
        <f t="shared" si="401"/>
        <v>0.30414156098409789</v>
      </c>
      <c r="K808" s="2607">
        <f t="shared" si="401"/>
        <v>0.2099629462868936</v>
      </c>
    </row>
    <row r="809" spans="1:11">
      <c r="A809" s="357" t="s">
        <v>718</v>
      </c>
      <c r="B809" s="2608">
        <f>IF(OR(B793="Choose mgt fee",B793="Choose One!"),"",(B786+B787+B788+B789+B790) / -(B792+B793+B794))</f>
        <v>1.1139733792135411</v>
      </c>
      <c r="C809" s="2608">
        <f t="shared" ref="C809:K809" si="402">IF(OR(C793="Choose mgt fee",C793="Choose One!"),"",(C786+C787+C788+C789+C790) / -(C792+C793+C794))</f>
        <v>1.1031569597294635</v>
      </c>
      <c r="D809" s="2608">
        <f t="shared" si="402"/>
        <v>1.0924457481109713</v>
      </c>
      <c r="E809" s="2608">
        <f t="shared" si="402"/>
        <v>1.0818413052210452</v>
      </c>
      <c r="F809" s="2608">
        <f t="shared" si="402"/>
        <v>1.0713379453650644</v>
      </c>
      <c r="G809" s="2608">
        <f t="shared" si="402"/>
        <v>1.0609352065010929</v>
      </c>
      <c r="H809" s="2608">
        <f t="shared" si="402"/>
        <v>1.0506347792536077</v>
      </c>
      <c r="I809" s="2608">
        <f t="shared" si="402"/>
        <v>1.0404359817747444</v>
      </c>
      <c r="J809" s="2608">
        <f t="shared" si="402"/>
        <v>1.0303342074489161</v>
      </c>
      <c r="K809" s="2608">
        <f t="shared" si="402"/>
        <v>1.0203311715285519</v>
      </c>
    </row>
    <row r="810" spans="1:11">
      <c r="A810" s="357" t="s">
        <v>2405</v>
      </c>
      <c r="B810" s="2606">
        <f>'Part VI-Pro Forma'!B103</f>
        <v>473657.90808112116</v>
      </c>
      <c r="C810" s="2606">
        <f>'Part VI-Pro Forma'!C103</f>
        <v>452423.02747193328</v>
      </c>
      <c r="D810" s="2606">
        <f>'Part VI-Pro Forma'!D103</f>
        <v>429734.43850089982</v>
      </c>
      <c r="E810" s="2606">
        <f>'Part VI-Pro Forma'!E103</f>
        <v>405492.62245443836</v>
      </c>
      <c r="F810" s="2606">
        <f>'Part VI-Pro Forma'!F103</f>
        <v>379591.2477157648</v>
      </c>
      <c r="G810" s="2606">
        <f>'Part VI-Pro Forma'!G103</f>
        <v>351916.70336366678</v>
      </c>
      <c r="H810" s="2606">
        <f>'Part VI-Pro Forma'!H103</f>
        <v>322347.60084214329</v>
      </c>
      <c r="I810" s="2606">
        <f>'Part VI-Pro Forma'!I103</f>
        <v>290754.24151508766</v>
      </c>
      <c r="J810" s="2606">
        <f>'Part VI-Pro Forma'!J103</f>
        <v>256998.04777055656</v>
      </c>
      <c r="K810" s="2606">
        <f>'Part VI-Pro Forma'!K103</f>
        <v>220930.95517928203</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589706.87732068775</v>
      </c>
      <c r="C816" s="2606">
        <f>'Part VI-Pro Forma'!C109</f>
        <v>601501.01486710133</v>
      </c>
      <c r="D816" s="2606">
        <f>'Part VI-Pro Forma'!D109</f>
        <v>613531.03516444354</v>
      </c>
      <c r="E816" s="2606">
        <f>'Part VI-Pro Forma'!E109</f>
        <v>625801.65586773248</v>
      </c>
      <c r="F816" s="2606">
        <f>'Part VI-Pro Forma'!F109</f>
        <v>638317.68898508698</v>
      </c>
      <c r="G816" s="2606"/>
      <c r="H816" s="2606"/>
      <c r="I816" s="2606"/>
      <c r="J816" s="2606"/>
      <c r="K816" s="2606"/>
    </row>
    <row r="817" spans="1:11">
      <c r="A817" s="357" t="s">
        <v>952</v>
      </c>
      <c r="B817" s="2606">
        <f>'Part VI-Pro Forma'!B110</f>
        <v>11794.137546413755</v>
      </c>
      <c r="C817" s="2606">
        <f>'Part VI-Pro Forma'!C110</f>
        <v>12030.020297342027</v>
      </c>
      <c r="D817" s="2606">
        <f>'Part VI-Pro Forma'!D110</f>
        <v>12270.620703288871</v>
      </c>
      <c r="E817" s="2606">
        <f>'Part VI-Pro Forma'!E110</f>
        <v>12516.033117354649</v>
      </c>
      <c r="F817" s="2606">
        <f>'Part VI-Pro Forma'!F110</f>
        <v>12766.35377970174</v>
      </c>
      <c r="G817" s="2606"/>
      <c r="H817" s="2606"/>
      <c r="I817" s="2606"/>
      <c r="J817" s="2606"/>
      <c r="K817" s="2606"/>
    </row>
    <row r="818" spans="1:11">
      <c r="A818" s="357" t="s">
        <v>2216</v>
      </c>
      <c r="B818" s="2606">
        <f>'Part VI-Pro Forma'!B111</f>
        <v>-42105.071040697112</v>
      </c>
      <c r="C818" s="2606">
        <f>'Part VI-Pro Forma'!C111</f>
        <v>-42947.172461511036</v>
      </c>
      <c r="D818" s="2606">
        <f>'Part VI-Pro Forma'!D111</f>
        <v>-43806.115910741268</v>
      </c>
      <c r="E818" s="2606">
        <f>'Part VI-Pro Forma'!E111</f>
        <v>-44682.238228956099</v>
      </c>
      <c r="F818" s="2606">
        <f>'Part VI-Pro Forma'!F111</f>
        <v>-45575.882993535219</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559395.9438264044</v>
      </c>
      <c r="C821" s="2606">
        <f>'Part VI-Pro Forma'!C114</f>
        <v>570583.86270293233</v>
      </c>
      <c r="D821" s="2606">
        <f>'Part VI-Pro Forma'!D114</f>
        <v>581995.5399569911</v>
      </c>
      <c r="E821" s="2606">
        <f>'Part VI-Pro Forma'!E114</f>
        <v>593635.45075613097</v>
      </c>
      <c r="F821" s="2606">
        <f>'Part VI-Pro Forma'!F114</f>
        <v>605508.15977125347</v>
      </c>
      <c r="G821" s="2606"/>
      <c r="H821" s="2606"/>
      <c r="I821" s="2606"/>
      <c r="J821" s="2606"/>
      <c r="K821" s="2606"/>
    </row>
    <row r="822" spans="1:11">
      <c r="A822" s="357" t="s">
        <v>572</v>
      </c>
      <c r="B822" s="2606">
        <f>'Part VI-Pro Forma'!B115</f>
        <v>-473097.72825957643</v>
      </c>
      <c r="C822" s="2606">
        <f>'Part VI-Pro Forma'!C115</f>
        <v>-487290.66010736383</v>
      </c>
      <c r="D822" s="2606">
        <f>'Part VI-Pro Forma'!D115</f>
        <v>-501909.37991058466</v>
      </c>
      <c r="E822" s="2606">
        <f>'Part VI-Pro Forma'!E115</f>
        <v>-516966.66130790219</v>
      </c>
      <c r="F822" s="2606">
        <f>'Part VI-Pro Forma'!F115</f>
        <v>-532475.66114713915</v>
      </c>
      <c r="G822" s="2606"/>
      <c r="H822" s="2606"/>
      <c r="I822" s="2606"/>
      <c r="J822" s="2606"/>
      <c r="K822" s="2606"/>
    </row>
    <row r="823" spans="1:11">
      <c r="A823" s="357" t="s">
        <v>1050</v>
      </c>
      <c r="B823" s="2606">
        <f>'Part VI-Pro Forma'!B116</f>
        <v>-53827</v>
      </c>
      <c r="C823" s="2606">
        <f>'Part VI-Pro Forma'!C116</f>
        <v>-55442</v>
      </c>
      <c r="D823" s="2606">
        <f>'Part VI-Pro Forma'!D116</f>
        <v>-57105</v>
      </c>
      <c r="E823" s="2606">
        <f>'Part VI-Pro Forma'!E116</f>
        <v>-58818</v>
      </c>
      <c r="F823" s="2606">
        <f>'Part VI-Pro Forma'!F116</f>
        <v>-60583</v>
      </c>
      <c r="G823" s="2606"/>
      <c r="H823" s="2606"/>
      <c r="I823" s="2606"/>
      <c r="J823" s="2606"/>
      <c r="K823" s="2606"/>
    </row>
    <row r="824" spans="1:11">
      <c r="A824" s="357" t="s">
        <v>1128</v>
      </c>
      <c r="B824" s="2606">
        <f>'Part VI-Pro Forma'!B117</f>
        <v>-26699.887183086252</v>
      </c>
      <c r="C824" s="2606">
        <f>'Part VI-Pro Forma'!C117</f>
        <v>-27500.883798578841</v>
      </c>
      <c r="D824" s="2606">
        <f>'Part VI-Pro Forma'!D117</f>
        <v>-28325.910312536202</v>
      </c>
      <c r="E824" s="2606">
        <f>'Part VI-Pro Forma'!E117</f>
        <v>-29175.68762191229</v>
      </c>
      <c r="F824" s="2606">
        <f>'Part VI-Pro Forma'!F117</f>
        <v>-30050.958250569653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5771.3283837417221</v>
      </c>
      <c r="C826" s="2606">
        <f>SUM(C821:C825)</f>
        <v>350.31879698965349</v>
      </c>
      <c r="D826" s="2606">
        <f>SUM(D821:D825)</f>
        <v>-5344.7502661297622</v>
      </c>
      <c r="E826" s="2606">
        <f>SUM(E821:E825)</f>
        <v>-11324.898173683509</v>
      </c>
      <c r="F826" s="2606">
        <f>SUM(F821:F825)</f>
        <v>-17601.459626455333</v>
      </c>
      <c r="G826" s="2606"/>
      <c r="H826" s="2606"/>
      <c r="I826" s="2606"/>
      <c r="J826" s="2606"/>
      <c r="K826" s="2606"/>
    </row>
    <row r="827" spans="1:11">
      <c r="A827" s="357" t="str">
        <f>$A797</f>
        <v>Mortgage A</v>
      </c>
      <c r="B827" s="2606">
        <f>'Part VI-Pro Forma'!B120</f>
        <v>-52047.243378441242</v>
      </c>
      <c r="C827" s="2606">
        <f>'Part VI-Pro Forma'!C120</f>
        <v>-52047.243378441242</v>
      </c>
      <c r="D827" s="2606">
        <f>'Part VI-Pro Forma'!D120</f>
        <v>-52047.243378441242</v>
      </c>
      <c r="E827" s="2606">
        <f>'Part VI-Pro Forma'!E120</f>
        <v>-52047.243378441242</v>
      </c>
      <c r="F827" s="2606">
        <f>'Part VI-Pro Forma'!F120</f>
        <v>-52047.243378441242</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-53775.914994699517</v>
      </c>
      <c r="C833" s="2606">
        <f>SUM(C826:C832)</f>
        <v>-59196.924581451589</v>
      </c>
      <c r="D833" s="2606">
        <f>SUM(D826:D832)</f>
        <v>-64891.993644571005</v>
      </c>
      <c r="E833" s="2606">
        <f>SUM(E826:E832)</f>
        <v>-70872.141552124755</v>
      </c>
      <c r="F833" s="2606">
        <f>SUM(F826:F832)</f>
        <v>-77148.703004896583</v>
      </c>
      <c r="G833" s="2606"/>
      <c r="H833" s="2606"/>
      <c r="I833" s="2606"/>
      <c r="J833" s="2606"/>
      <c r="K833" s="2606"/>
    </row>
    <row r="834" spans="1:11">
      <c r="A834" s="357" t="str">
        <f>$A804</f>
        <v>DCR Mortgage A</v>
      </c>
      <c r="B834" s="2607">
        <f>IF(B827=0,"",-B826/B827)</f>
        <v>0.11088634112238678</v>
      </c>
      <c r="C834" s="2607">
        <f>IF(C827=0,"",-C826/C827)</f>
        <v>6.7307848456535325E-3</v>
      </c>
      <c r="D834" s="2607">
        <f>IF(D827=0,"",-D826/D827)</f>
        <v>-0.10269036204794736</v>
      </c>
      <c r="E834" s="2607">
        <f>IF(E827=0,"",-E826/E827)</f>
        <v>-0.21758881813084557</v>
      </c>
      <c r="F834" s="2607">
        <f>IF(F827=0,"",-F826/F827)</f>
        <v>-0.33818236056179152</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0.11088634112238678</v>
      </c>
      <c r="C838" s="2607">
        <f>IF(AND(C827=0,C828=0,C829=0,C830=0),"",-C826/(C827+C828+C829+C830))</f>
        <v>6.7307848456535325E-3</v>
      </c>
      <c r="D838" s="2607">
        <f>IF(AND(D827=0,D828=0,D829=0,D830=0),"",-D826/(D827+D828+D829+D830))</f>
        <v>-0.10269036204794736</v>
      </c>
      <c r="E838" s="2607">
        <f>IF(AND(E827=0,E828=0,E829=0,E830=0),"",-E826/(E827+E828+E829+E830))</f>
        <v>-0.21758881813084557</v>
      </c>
      <c r="F838" s="2607">
        <f>IF(AND(F827=0,F828=0,F829=0,F830=0),"",-F826/(F827+F828+F829+F830))</f>
        <v>-0.33818236056179152</v>
      </c>
      <c r="G838" s="2606"/>
      <c r="H838" s="2606"/>
      <c r="I838" s="2606"/>
      <c r="J838" s="2606"/>
      <c r="K838" s="2606"/>
    </row>
    <row r="839" spans="1:11">
      <c r="A839" s="357" t="s">
        <v>718</v>
      </c>
      <c r="B839" s="2608">
        <f>IF(OR(B823="Choose mgt fee",B823="Choose One!"),"",(B816+B817+B818+B819+B820) / -(B822+B823+B824))</f>
        <v>1.0104246238746575</v>
      </c>
      <c r="C839" s="2608">
        <f>IF(OR(C823="Choose mgt fee",C823="Choose One!"),"",(C816+C817+C818+C819+C820) / -(C822+C823+C824))</f>
        <v>1.0006143426684269</v>
      </c>
      <c r="D839" s="2608">
        <f>IF(OR(D823="Choose mgt fee",D823="Choose One!"),"",(D816+D817+D818+D819+D820) / -(D822+D823+D824))</f>
        <v>0.99090007895746546</v>
      </c>
      <c r="E839" s="2608">
        <f>IF(OR(E823="Choose mgt fee",E823="Choose One!"),"",(E816+E817+E818+E819+E820) / -(E822+E823+E824))</f>
        <v>0.98127993314980477</v>
      </c>
      <c r="F839" s="2608">
        <f>IF(OR(F823="Choose mgt fee",F823="Choose One!"),"",(F816+F817+F818+F819+F820) / -(F822+F823+F824))</f>
        <v>0.97175222612761347</v>
      </c>
      <c r="G839" s="2606"/>
      <c r="H839" s="2606"/>
      <c r="I839" s="2606"/>
      <c r="J839" s="2606"/>
      <c r="K839" s="2606"/>
    </row>
    <row r="840" spans="1:11">
      <c r="A840" s="357" t="s">
        <v>2405</v>
      </c>
      <c r="B840" s="2606">
        <f>'Part VI-Pro Forma'!B133</f>
        <v>182394.76304125931</v>
      </c>
      <c r="C840" s="2606">
        <f>'Part VI-Pro Forma'!C133</f>
        <v>141220.44047171937</v>
      </c>
      <c r="D840" s="2606">
        <f>'Part VI-Pro Forma'!D133</f>
        <v>97227.384982778312</v>
      </c>
      <c r="E840" s="2606">
        <f>'Part VI-Pro Forma'!E133</f>
        <v>50222.630308688938</v>
      </c>
      <c r="F840" s="2606">
        <f>'Part VI-Pro Forma'!F133</f>
        <v>-1.3686076272279024E-8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Windsor Crossing,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6994</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structured this application so that it is consistent with DCA's requirements regarding Project Feasibility, Viability and Conformance with the Plan as detailed in the 2023 QAP.  Windsor Crossing complies with the 2023 QAP and the Applicant has not requested any waivers or deviations from these standards.  Berrien County's section 8 program is administered by DCA, therefore the applicant has used DCA's applicable utility allowances in this application.</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85.25">
      <c r="A892" s="2860" t="str">
        <f>'Part VII-Threshold Criteria'!A41</f>
        <v>The Applicant has selected "Family" tenancy and will not have age restrictions.</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156.75">
      <c r="A900" s="2860" t="str">
        <f>'Part VII-Threshold Criteria'!A49</f>
        <v>Applicant agrees to provide 2 services from 2 categories listed in the QAP.</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and Company, LLC</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0.95199999999999996</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0.152</v>
      </c>
      <c r="J906" s="2860"/>
      <c r="K906" s="2860"/>
      <c r="L906" s="2874"/>
      <c r="M906" s="2875" t="s">
        <v>6779</v>
      </c>
      <c r="N906" s="2860">
        <f>'Part VII-Threshold Criteria'!N55</f>
        <v>0</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market study confirms extremely low vacancy rates in the area of the proposed development, along with fast absorption rates and a low overall capture rate.  These factors prove the demand for affordable housing is very high in the Nashville/Berrien County area.  See the market study in Tab 5.
Per page 74 of the Market Study, the analyst estimates stabilized occupancy will be 95% or higher.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185.25">
      <c r="A919" s="2860" t="str">
        <f>'Part VII-Threshold Criteria'!A68</f>
        <v>Not Applicable - Applicate does not meet the criteria for an appraisal to be required.</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In addition to the parcel upon which Windsor Crossing will be developed (Parcel #072 17 002), the environmental professional also performed their environmental assessment on the two parcels upon which the Applicant has obtained easement rights over for site access and utilities (Parcel #072A 156 000 and Parcel #072A 156 000).  While this isn’t required, we engaged the environmental professional to perform this work in the abundance of caution.  As DCA will notice in the ESA, references are made to all three parcels in the ESA, even though only Parcel 072 17 002 will be owned by the Partnership.
Additionally, The environmental professional delineated wetlands on the site.  No development will occur in or near the wetlands.  The Applicant agrees to record a covenant on the property to ensure that no wetlands are disturbed.
The Phase 1 environmental assessment proves the Application has met the threshold requirements.  See tab 7 for the phase 1 environmental report.</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Windsor Crossing,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313.5">
      <c r="A945" s="2860" t="str">
        <f>'Part VII-Threshold Criteria'!A94</f>
        <v>The partnership/applicant has site control via a purchase agreement and corresponding assignment.  Please see the Site Control documents in tab 8.</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The Applicant entered into an easement option agreement and corresponding easement agreement to allow for the site entrance road and utilities to be constructed and utilized for the subject property.  Therefore, the site will be legally accessed from Windsor Avenue.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9 for a copy of the easement option agreement and easement agreement.</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256.5">
      <c r="A959" s="2860" t="str">
        <f>'Part VII-Threshold Criteria'!A108</f>
        <v>The site is zoned AU (Agricultural Use) which allows for Multi-Family housing.  See Tab 10 for required documentation.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Colquitt EMC</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The Applicant entered into an easement option agreement and corresponding easement agreement to allow for the site entrance road and utilities to be constructed and utilized for the subject property.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11 for a copy of the easement option agreement and easement agreement.
Power will be provided by Colquitt EMC.  Required documentation is included in tab 11.</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Nashville</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Nashville</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The Applicant entered into an easement option agreement and corresponding easement agreement to allow for the site entrance road and utilities to be constructed and utilized for the subject property.  The easement option and easement agreement call for the Applicant to pay $30,000 to the owner of the subject easement parcels (the “Grantor”).  That $30,000 is reflected in the development budget. Additionally, the costs to install the site entrance road and utilities on this parcel are included as off-site costs in the development budget.  Please see folder 12 for a copy of the easement option agreement and easement agreement.
The City of Nashville will provide water and sewer.  Both water and sewer lines are located in the right-of-way of Windsor Avenue directly adjacent to the easement/property.  Required documentation is included in Tab 12.</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 xml:space="preserve">Covered pavilion with picnic/BBQ facilities </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99.5">
      <c r="A996" s="2860" t="str">
        <f>'Part VII-Threshold Criteria'!A145</f>
        <v>The development is proposed as family tenancy and agrees to provide the amenities above.</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56.75">
      <c r="A1006" s="2860" t="str">
        <f>'Part VII-Threshold Criteria'!A155</f>
        <v>Not Applicable.  Proposed development is 100%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327.75">
      <c r="A1013" s="2860" t="str">
        <f>'Part VII-Threshold Criteria'!A162</f>
        <v>The Applicant has prepared the Conceptual Site Development Plan consistent with DCA's requirements.  Required documentation is included in tab 15.</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13.75">
      <c r="A1039" s="2860" t="str">
        <f>'Part VII-Threshold Criteria'!A188</f>
        <v>The Applicant will follow all required accessibility standards and retain DCA qualified consultant.</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42.25">
      <c r="A1054" s="2860" t="str">
        <f>'Part VII-Threshold Criteria'!A203</f>
        <v>Architectural documentation is included in tab 18.  The selections above match the selections on the CSDP cover sheet.</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The Project Team for Windsor Crossing is identical to the Project Team that was deemed Qualified during 2023 pre-applicaiton.  Windsor Crossing is a new construction development and the Project Team was approved for new construction at pre-application. There have not been any changes to the pre-applicaiton submitted by the development team other than the site location is no longer TBD.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85.25">
      <c r="A1079" s="2860" t="str">
        <f>'Part VII-Threshold Criteria'!A228</f>
        <v xml:space="preserve">Not Applicable - The Applicant is not applying for credits under the RAD set-aside.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7009</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228">
      <c r="A1095" s="2860" t="str">
        <f>'Part VII-Threshold Criteria'!A244</f>
        <v xml:space="preserve">Not Applicable - The Applicant is a for-profit entity and is not competing under the non-profit set-aside.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85.25">
      <c r="A1107" s="2860" t="str">
        <f>'Part VII-Threshold Criteria'!A256</f>
        <v xml:space="preserve">Not Applicable - The Applicant is not required to submit the legal opinions noted in this section.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285">
      <c r="A1119" s="2860" t="str">
        <f>'Part VII-Threshold Criteria'!A268</f>
        <v>Not Applicable - The proposed development is 100% new construction and will not result in the relocation/displacement of existing tenants.</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27.75">
      <c r="A1137" s="2860" t="str">
        <f>'Part VII-Threshold Criteria'!A286</f>
        <v>The Applicant agrees to prepare and submit an AFFH marketing plan that includes items A-E noted in this section if the applicant is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Windsor Crossing,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75</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Transit in 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27 for more details including a letter from SGRC confirming the details above.
SGRC website:  www.sgrc.us/public-transit-services.html</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2023,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28.</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7</v>
      </c>
      <c r="F1167" s="2913" t="str">
        <f>'Part VIII Scoring Criteria'!F16</f>
        <v>The Berrien County and City of Nashville Urban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3-Include an assessment of the Targeted Area’s existing infrastructure - See pages 13 and 15 of the CRP
4-Designate implementation measures-See pages 18 and 95 of the CRP
5-Be officially approved or re-approved by a Local Government within ten (10) years of Application Submission.-The CRP was originally adopted on January 9, 2012.  It was re-approved on June 8, 2020 and amended and updated on April 24, 2023.  See Tab 29 Section 03 for supporting documentation which are the Resolutions of the Governing Body approving the CRP.
The applicant qualifies for 2 points for meeting these primary criteria.
ADDTIONAL CRITERIA
1-Solicit public input and engagement during its creation.  See the letter in Tab 5 of Section 29 from the local government affirming and describing the public input and engagement that went into the planning process of the CRP
2-Local government demonstrates a financial commitment to advancing the CRP in the form of funds raised, funds allocated, tax incentives or local government fee waivers- See the letter from the local government in Tab 4 of Section 29 describing the amounts and types of investments made in the CRP.
3- The application site is located within a Qualified Census Tract (QCT) - the site is located in a QCT.  See QCT map provided in Section 29-9.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miles of the proposed site, are expected to cost $5.9M in total, of which, $2.4M is expected to be spent between June 2023 and December 31, 2025. 
This investment far exceeds $20,000 per unit qualifying the Applicant for 2 points for Third Party Capital Investment.  All supporting documentation is included in Tab 29.
In total, the applicant qualifies for 7 points in this section.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28.25">
      <c r="A1168" s="2913" t="s">
        <v>401</v>
      </c>
      <c r="B1168" s="2403" t="s">
        <v>3395</v>
      </c>
      <c r="C1168" s="2406"/>
      <c r="D1168" s="2406"/>
      <c r="E1168" s="2914" t="str">
        <f>'Part VIII Scoring Criteria'!E17</f>
        <v>n/a</v>
      </c>
      <c r="F1168" s="2913" t="str">
        <f>'Part VIII Scoring Criteria'!F17</f>
        <v>Not Applicable - The Applicant is not claiming points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Not Applicable - The Applicant is not claiming points in this section.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28.25">
      <c r="A1170" s="2913" t="s">
        <v>4040</v>
      </c>
      <c r="B1170" s="2403" t="s">
        <v>3261</v>
      </c>
      <c r="C1170" s="2406"/>
      <c r="D1170" s="2406"/>
      <c r="E1170" s="2914">
        <f>'Part VIII Scoring Criteria'!E19</f>
        <v>0</v>
      </c>
      <c r="F1170" s="2913" t="str">
        <f>'Part VIII Scoring Criteria'!F19</f>
        <v>Not Applicable - The Applicant is not claiming points in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28.25">
      <c r="A1171" s="2913" t="s">
        <v>4052</v>
      </c>
      <c r="B1171" s="2403" t="s">
        <v>4041</v>
      </c>
      <c r="C1171" s="2406"/>
      <c r="D1171" s="2406"/>
      <c r="E1171" s="2914">
        <f>'Part VIII Scoring Criteria'!E20</f>
        <v>0</v>
      </c>
      <c r="F1171" s="2913" t="str">
        <f>'Part VIII Scoring Criteria'!F20</f>
        <v>Not Applicable - The Applicant is not claiming points in this section.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6242</v>
      </c>
      <c r="B1172" s="2403" t="s">
        <v>4042</v>
      </c>
      <c r="C1172" s="2406"/>
      <c r="D1172" s="2406"/>
      <c r="E1172" s="2914">
        <f>'Part VIII Scoring Criteria'!E21</f>
        <v>5</v>
      </c>
      <c r="F1172" s="2913" t="str">
        <f>'Part VIII Scoring Criteria'!F21</f>
        <v>Windsor Crossing is located in unincorporated Berrien County, GA, outside of the city limits of Nashville, Ga.  DCA has never issued an award in unincorporated Berrien County outside of the the city limits of Nashville in a DCA Housing Credit Competitive Round. Therefore the Applicant has met the criteria for and is eligible for the 5 points noted in this section.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3" t="s">
        <v>6636</v>
      </c>
      <c r="B1173" s="2403" t="s">
        <v>6548</v>
      </c>
      <c r="C1173" s="2406"/>
      <c r="D1173" s="2406"/>
      <c r="E1173" s="2914">
        <f>'Part VIII Scoring Criteria'!E22</f>
        <v>0</v>
      </c>
      <c r="F1173" s="2913" t="str">
        <f>'Part VIII Scoring Criteria'!F22</f>
        <v>Not Applicable - The Applicant is not claiming points in this section.</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299.25">
      <c r="A1174" s="2913" t="s">
        <v>6638</v>
      </c>
      <c r="B1174" s="2403" t="s">
        <v>6637</v>
      </c>
      <c r="C1174" s="2406"/>
      <c r="D1174" s="2406"/>
      <c r="E1174" s="2914">
        <f>'Part VIII Scoring Criteria'!E23</f>
        <v>2</v>
      </c>
      <c r="F1174" s="2913" t="str">
        <f>'Part VIII Scoring Criteria'!F23</f>
        <v>The Applicant commits to the items noted above under A. Engagement Commitment and Reporting and is therefore eligible for two (2) points.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Windsor Crossing received a letter from the Nashville/Berrien County GICH.  The Nashville/Berrien County GICH is a certified GICH alumnus.  The letter issued to Windsor Crossing by the Nashville/Berrien County GICH was signed by Henry Yawn, Nashville/Berrien County GICH Primary Contact Designee. The GICH letter clearly identifies the boundaries of their GICH community and identifies Windsor Crossing as located within the boundaries of the Nashville/Berrien County GICH community.  The letter issued to Windsor Crossing is the only letter issued by the Nashville/Berrien County GICH in the 2023 9% competitive round. The Applicant also received a letter from the Chairman of the Berrien County Board of Commissioners (who is authorized to speak on behalf of Berrien County) agreeing to the issuance of the GICH letter for Windsor Crossing. 
Therefore the Applicant has met the criteria for and is eligible for the 2 point noted in this section.  All required supporting documentation is included in tab 41.</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2</v>
      </c>
      <c r="F1177" s="2913" t="str">
        <f>'Part VIII Scoring Criteria'!F26</f>
        <v>The Applicant has received a commitment of funds that meet the QAP requirements (Capital Magnet Funds issued by a CDFI) in this section to qualify for two (2) points.  Windsor Crossing consists of 44 units and the total qualifying sources (TQS) equal $20,000 per unit which meets the per unit reqirement to be eligible for two (2) points.  Therefore the Applicant is eligible for two (2) points.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8.25">
      <c r="A1178" s="2913" t="s">
        <v>3376</v>
      </c>
      <c r="B1178" s="2403" t="s">
        <v>3398</v>
      </c>
      <c r="C1178" s="2406"/>
      <c r="D1178" s="2406"/>
      <c r="E1178" s="2914">
        <f>'Part VIII Scoring Criteria'!E27</f>
        <v>0</v>
      </c>
      <c r="F1178" s="2913" t="str">
        <f>'Part VIII Scoring Criteria'!F27</f>
        <v>Not Applicable - The Applicant is not claiming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A. DCA PBRA Agreement - The Applicant commits to accept DCA-administered PBRA at the proposed development for not more than 20% of overall units, if funding is available. Windsor Crossing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Not Applicable - The Applicant is not claiming points in this section.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28.25">
      <c r="A1181" s="2913" t="s">
        <v>3802</v>
      </c>
      <c r="B1181" s="2403" t="s">
        <v>6552</v>
      </c>
      <c r="C1181" s="2406"/>
      <c r="D1181" s="2406"/>
      <c r="E1181" s="2914">
        <f>'Part VIII Scoring Criteria'!E30</f>
        <v>0</v>
      </c>
      <c r="F1181" s="2913" t="str">
        <f>'Part VIII Scoring Criteria'!F30</f>
        <v>Not Applicable - The Applicant is not claiming points in this section.</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Not Applicable - The Applicant is not claiming points in this section.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9" t="s">
        <v>6944</v>
      </c>
      <c r="B1185" s="3919"/>
      <c r="C1185" s="3919"/>
      <c r="D1185" s="3919"/>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57.954545454545453</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31.208708999999999</v>
      </c>
      <c r="G1240" s="2199"/>
      <c r="H1240" s="2199"/>
      <c r="I1240" s="2199"/>
      <c r="J1240" s="2199">
        <f>'Part VIII Scoring Criteria'!J89</f>
        <v>-83.218197000000004</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Southern Georgia Regional Commission</v>
      </c>
      <c r="C1243" s="2199"/>
      <c r="D1243" s="2199"/>
      <c r="E1243" s="2199"/>
      <c r="F1243" s="2947">
        <f>'Part VIII Scoring Criteria'!F92</f>
        <v>2293335277</v>
      </c>
      <c r="G1243" s="2199" t="str">
        <f>'Part VIII Scoring Criteria'!G92</f>
        <v>mfowler@sgrc.us</v>
      </c>
      <c r="H1243" s="2199"/>
      <c r="I1243" s="2199"/>
      <c r="J1243" s="2199" t="str">
        <f>'Part VIII Scoring Criteria'!J92</f>
        <v>www.sgrc.us/public-transit-services.html</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Transit in 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27 for more details including a letter from SGRC confirming the details above.
SGRC website:  www.sgrc.us/public-transit-services.html</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42.75">
      <c r="A1261" s="2397"/>
      <c r="B1261" s="2438" t="str">
        <f>'Part VIII Scoring Criteria'!B110</f>
        <v>Berrien Primary School</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Berrien Elementary School</v>
      </c>
      <c r="C1262" s="2438"/>
      <c r="D1262" s="2438"/>
      <c r="E1262" s="2438"/>
      <c r="F1262" s="2438" t="str">
        <f>'Part VIII Scoring Criteria'!F111</f>
        <v>No</v>
      </c>
      <c r="G1262" s="2438"/>
      <c r="H1262" s="2438" t="str">
        <f>'Part VIII Scoring Criteria'!H111</f>
        <v>Yes</v>
      </c>
      <c r="I1262" s="2438"/>
      <c r="J1262" s="2438" t="str">
        <f>'Part VIII Scoring Criteria'!J111</f>
        <v>No</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Berrien Middle School</v>
      </c>
      <c r="C1263" s="2438"/>
      <c r="D1263" s="2438"/>
      <c r="E1263" s="2438"/>
      <c r="F1263" s="2438" t="str">
        <f>'Part VIII Scoring Criteria'!F112</f>
        <v>No</v>
      </c>
      <c r="G1263" s="2438"/>
      <c r="H1263" s="2438" t="str">
        <f>'Part VIII Scoring Criteria'!H112</f>
        <v>Yes</v>
      </c>
      <c r="I1263" s="2438"/>
      <c r="J1263" s="2438" t="str">
        <f>'Part VIII Scoring Criteria'!J112</f>
        <v>No</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42.75">
      <c r="A1264" s="2397"/>
      <c r="B1264" s="2438" t="str">
        <f>'Part VIII Scoring Criteria'!B113</f>
        <v>Berrien High School</v>
      </c>
      <c r="C1264" s="2438"/>
      <c r="D1264" s="2438"/>
      <c r="E1264" s="2438"/>
      <c r="F1264" s="2438" t="str">
        <f>'Part VIII Scoring Criteria'!F113</f>
        <v>No</v>
      </c>
      <c r="G1264" s="2438"/>
      <c r="H1264" s="2438" t="str">
        <f>'Part VIII Scoring Criteria'!H113</f>
        <v>Yes</v>
      </c>
      <c r="I1264" s="2438"/>
      <c r="J1264" s="2438" t="str">
        <f>'Part VIII Scoring Criteria'!J113</f>
        <v>Yes</v>
      </c>
      <c r="K1264" s="2438"/>
      <c r="L1264" s="2199" t="str">
        <f>'Part VIII Scoring Criteria'!L113</f>
        <v>Yes</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2023,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28.</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123, 198, 202</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2 and 3</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13 and 15</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18 and 95</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187-188, 194-195, 197-199</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7025</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The Berrien County and City of Nashville Urban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3-Include an assessment of the Targeted Area’s existing infrastructure - See pages 13 and 15 of the CRP
4-Designate implementation measures-See pages 18 and 95 of the CRP
5-Be officially approved or re-approved by a Local Government within ten (10) years of Application Submission.-The CRP was originally adopted on January 9, 2012.  It was re-approved on June 8, 2020 and amended and updated on April 24, 2023.  See Tab 29 Section 03 for supporting documentation which are the Resolutions of the Governing Body approving the CRP.
The applicant qualifies for 2 points for meeting these primary criteria.
ADDTIONAL CRITERIA
1-Solicit public input and engagement during its creation.  See the letter in Tab 5 of Section 29 from the local government affirming and describing the public input and engagement that went into the planning process of the CRP
2-Local government demonstrates a financial commitment to advancing the CRP in the form of funds raised, funds allocated, tax incentives or local government fee waivers- See the letter from the local government in Tab 4 of Section 29 describing the amounts and types of investments made in the CRP.
3- The application site is located within a Qualified Census Tract (QCT) - the site is located in a QCT.  See QCT map provided in Section 29-9.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miles of the proposed site, are expected to cost $5.9M in total, of which, $2.4M is expected to be spent between June 2023 and December 31, 2025. 
This investment far exceeds $20,000 per unit qualifying the Applicant for 2 points for Third Party Capital Investment.  All supporting documentation is included in Tab 29.
In total, the applicant qualifies for 7 points in this section.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28.25">
      <c r="A1298" s="2406" t="str">
        <f>'Part VIII Scoring Criteria'!A147</f>
        <v>Not Applicable - The Applicant is not claiming points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28.25">
      <c r="A1316" s="2406" t="str">
        <f>'Part VIII Scoring Criteria'!A165</f>
        <v>Not Applicable - The Applicant is not claiming points in this section.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28.25">
      <c r="A1335" s="2406" t="str">
        <f>'Part VIII Scoring Criteria'!A184</f>
        <v>Not Applicable - The Applicant is not claiming points in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6929</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28.25">
      <c r="A1346" s="2406" t="str">
        <f>'Part VIII Scoring Criteria'!A195</f>
        <v>Not Applicable - The Applicant is not claiming points in this section.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Windsor Crossing is located in unincorporated Berrien County, GA, outside of the city limits of Nashville, Ga.  DCA has never issued an award in unincorporated Berrien County outside of the the city limits of Nashville in a DCA Housing Credit Competitive Round. Therefore the Applicant has met the criteria for and is eligible for the 5 points noted in this section.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8.25">
      <c r="A1379" s="2406" t="str">
        <f>'Part VIII Scoring Criteria'!A228</f>
        <v>Not Applicable - The Applicant is not claiming points in this section.</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299.25">
      <c r="A1399" s="2406" t="str">
        <f>'Part VIII Scoring Criteria'!A248</f>
        <v>The Applicant commits to the items noted above under A. Engagement Commitment and Reporting and is therefore eligible for two (2) points.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Nashville/Berrien County</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Windsor Crossing received a letter from the Nashville/Berrien County GICH.  The Nashville/Berrien County GICH is a certified GICH alumnus.  The letter issued to Windsor Crossing by the Nashville/Berrien County GICH was signed by Henry Yawn, Nashville/Berrien County GICH Primary Contact Designee. The GICH letter clearly identifies the boundaries of their GICH community and identifies Windsor Crossing as located within the boundaries of the Nashville/Berrien County GICH community.  The letter issued to Windsor Crossing is the only letter issued by the Nashville/Berrien County GICH in the 2023 9% competitive round. The Applicant also received a letter from the Chairman of the Berrien County Board of Commissioners (who is authorized to speak on behalf of Berrien County) agreeing to the issuance of the GICH letter for Windsor Crossing. 
Therefore the Applicant has met the criteria for and is eligible for the 2 point noted in this section.  All required supporting documentation is included in tab 41.</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2</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2</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880000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880000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44</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20000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2</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Applicant has received a commitment of funds that meet the QAP requirements (Capital Magnet Funds issued by a CDFI) in this section to qualify for two (2) points.  Windsor Crossing consists of 44 units and the total qualifying sources (TQS) equal $20,000 per unit which meets the per unit reqirement to be eligible for two (2) points.  Therefore the Applicant is eligible for two (2) points.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8.25">
      <c r="A1469" s="2406" t="str">
        <f>'Part VIII Scoring Criteria'!A318</f>
        <v>Not Applicable - The Applicant is not claiming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3</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A. DCA PBRA Agreement - The Applicant commits to accept DCA-administered PBRA at the proposed development for not more than 20% of overall units, if funding is available. Windsor Crossing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28.25">
      <c r="A1498" s="2406" t="str">
        <f>'Part VIII Scoring Criteria'!A347</f>
        <v>Not Applicable - The Applicant is not claiming points in this section.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28.25">
      <c r="A1511" s="2406" t="str">
        <f>'Part VIII Scoring Criteria'!A360</f>
        <v>Not Applicable - The Applicant is not claiming points in this section.</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28.25">
      <c r="A1520" s="2406" t="str">
        <f>'Part VIII Scoring Criteria'!A369</f>
        <v>Not Applicable - The Applicant is not claiming points in this section.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6930</v>
      </c>
      <c r="E1527" s="2199"/>
      <c r="F1527" s="2199"/>
      <c r="G1527" s="2199" t="s">
        <v>6222</v>
      </c>
      <c r="H1527" s="2199"/>
      <c r="I1527" s="2199"/>
      <c r="J1527" s="2199" t="s">
        <v>575</v>
      </c>
      <c r="L1527" s="2342" t="s">
        <v>6931</v>
      </c>
      <c r="M1527" s="3919" t="s">
        <v>6941</v>
      </c>
      <c r="N1527" s="3919"/>
      <c r="O1527" s="3919"/>
      <c r="P1527" s="3919"/>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28.25">
      <c r="A1540" s="2406" t="str">
        <f>'Part VIII Scoring Criteria'!A389</f>
        <v>Not Applicable - The Applicant is not claiming points in this section.</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Not applicable to 9% deals.</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Not applicable to new construction deals.</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XXIII.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6545</v>
      </c>
      <c r="BD1570" s="3006" t="s">
        <v>6546</v>
      </c>
      <c r="BE1570" s="3006" t="s">
        <v>6547</v>
      </c>
      <c r="BF1570" s="3006">
        <v>0.09</v>
      </c>
      <c r="BG1570" s="3006">
        <v>0.04</v>
      </c>
      <c r="BH1570" s="3006">
        <v>0.04</v>
      </c>
      <c r="BI1570" s="3006" t="s">
        <v>6927</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2</v>
      </c>
      <c r="AZ1590" s="3007">
        <f>O1431</f>
        <v>2</v>
      </c>
      <c r="BA1590" s="3007">
        <f>O1431</f>
        <v>2</v>
      </c>
      <c r="BB1590" s="3007">
        <f>O1431</f>
        <v>2</v>
      </c>
      <c r="BC1590" s="3007">
        <f>O1431</f>
        <v>2</v>
      </c>
      <c r="BD1590" s="3007">
        <f>O1431</f>
        <v>2</v>
      </c>
      <c r="BE1590" s="3007">
        <f>O1431</f>
        <v>2</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75</v>
      </c>
      <c r="AZ1600" s="2542">
        <f>'Part VIII Scoring Criteria'!AZ449</f>
        <v>65</v>
      </c>
      <c r="BA1600" s="2542">
        <f>'Part VIII Scoring Criteria'!BA449</f>
        <v>31</v>
      </c>
      <c r="BB1600" s="2542">
        <f>'Part VIII Scoring Criteria'!BB449</f>
        <v>31</v>
      </c>
      <c r="BC1600" s="2542">
        <f>'Part VIII Scoring Criteria'!BC449</f>
        <v>35</v>
      </c>
      <c r="BD1600" s="2542">
        <f>'Part VIII Scoring Criteria'!BD449</f>
        <v>35</v>
      </c>
      <c r="BE1600" s="2542">
        <f>'Part VIII Scoring Criteria'!BE449</f>
        <v>35</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7" sqref="A6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4" t="str">
        <f>CONCATENATE("PART TWO - SOURCES OF FUNDS (Proposed)","  -  ",'Part I-Project Identification'!$O$7," ",'Part I-Project Identification'!$F$25,", ",'Part I-Project Identification'!$F$26,", ",'Part I-Project Identification'!$J$26," County")</f>
        <v>PART TWO - SOURCES OF FUNDS (Proposed)  -  2023-0 Windsor Crossing, Nashville, Berrien County</v>
      </c>
      <c r="B2" s="3105"/>
      <c r="C2" s="3105"/>
      <c r="D2" s="3105"/>
      <c r="E2" s="3105"/>
      <c r="F2" s="3105"/>
      <c r="G2" s="3105"/>
      <c r="H2" s="3105"/>
      <c r="I2" s="3105"/>
      <c r="J2" s="3105"/>
      <c r="K2" s="3105"/>
      <c r="L2" s="3105"/>
      <c r="M2" s="3105"/>
      <c r="N2" s="3105"/>
      <c r="O2" s="3105"/>
      <c r="P2" s="3105"/>
      <c r="Q2" s="3106"/>
      <c r="S2" s="3197" t="str">
        <f>$A$2</f>
        <v>PART TWO - SOURCES OF FUNDS (Proposed)  -  2023-0 Windsor Crossing, Nashville, Berrien County</v>
      </c>
      <c r="T2" s="3197"/>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9" t="str">
        <f>'Part I-Project Identification'!$A$6</f>
        <v>April 2023</v>
      </c>
      <c r="M4" s="3220"/>
      <c r="N4" s="3220"/>
      <c r="O4" s="3220"/>
      <c r="P4" s="3221"/>
      <c r="S4" s="258" t="str">
        <f>B4</f>
        <v>GOVERNMENT FUNDING SOURCES  (check all that apply)</v>
      </c>
      <c r="Y4" s="1742"/>
      <c r="Z4" s="1706">
        <v>4</v>
      </c>
      <c r="AZ4" s="1676"/>
    </row>
    <row r="5" spans="1:52" s="223" customFormat="1" ht="15.75" customHeight="1">
      <c r="A5" s="253"/>
      <c r="B5" s="375"/>
      <c r="C5" s="253"/>
      <c r="D5" s="144"/>
      <c r="E5" s="144"/>
      <c r="F5" s="144"/>
      <c r="G5" s="144"/>
      <c r="S5" s="3198" t="s">
        <v>2448</v>
      </c>
      <c r="T5" s="3198"/>
      <c r="Y5" s="1742"/>
      <c r="Z5" s="1706">
        <v>5</v>
      </c>
      <c r="AZ5" s="1676"/>
    </row>
    <row r="6" spans="1:52" s="223" customFormat="1" ht="16.5" customHeight="1">
      <c r="A6" s="375"/>
      <c r="B6" s="1232" t="s">
        <v>2649</v>
      </c>
      <c r="C6" s="224" t="s">
        <v>2219</v>
      </c>
      <c r="D6" s="144"/>
      <c r="E6" s="1232" t="s">
        <v>2652</v>
      </c>
      <c r="F6" s="224" t="s">
        <v>6079</v>
      </c>
      <c r="G6" s="144"/>
      <c r="I6" s="3208"/>
      <c r="J6" s="3209"/>
      <c r="L6" s="1232" t="s">
        <v>2652</v>
      </c>
      <c r="M6" s="224" t="s">
        <v>1437</v>
      </c>
      <c r="Q6" s="1620"/>
      <c r="S6" s="3199"/>
      <c r="T6" s="3200"/>
      <c r="Y6" s="1742"/>
      <c r="Z6" s="1706">
        <v>6</v>
      </c>
      <c r="AZ6" s="1676"/>
    </row>
    <row r="7" spans="1:52" s="223" customFormat="1" ht="16.5" customHeight="1">
      <c r="A7" s="375"/>
      <c r="B7" s="823" t="s">
        <v>2652</v>
      </c>
      <c r="C7" s="224" t="s">
        <v>3876</v>
      </c>
      <c r="D7" s="144"/>
      <c r="E7" s="818" t="s">
        <v>2652</v>
      </c>
      <c r="F7" s="224" t="s">
        <v>6080</v>
      </c>
      <c r="I7" s="3210"/>
      <c r="J7" s="3211"/>
      <c r="L7" s="823" t="s">
        <v>2652</v>
      </c>
      <c r="M7" s="224" t="s">
        <v>514</v>
      </c>
      <c r="P7" s="1620"/>
      <c r="Q7" s="1620"/>
      <c r="S7" s="3201"/>
      <c r="T7" s="3202"/>
      <c r="Y7" s="1742"/>
      <c r="Z7" s="1706">
        <v>7</v>
      </c>
      <c r="AZ7" s="1676"/>
    </row>
    <row r="8" spans="1:52" s="223" customFormat="1" ht="16.5" customHeight="1">
      <c r="A8" s="144"/>
      <c r="B8" s="823" t="s">
        <v>2652</v>
      </c>
      <c r="C8" s="224" t="s">
        <v>6660</v>
      </c>
      <c r="F8" s="223" t="s">
        <v>6663</v>
      </c>
      <c r="H8" s="3222" t="s">
        <v>3065</v>
      </c>
      <c r="I8" s="3223"/>
      <c r="J8" s="3224"/>
      <c r="L8" s="823" t="s">
        <v>2652</v>
      </c>
      <c r="M8" s="224" t="s">
        <v>6665</v>
      </c>
      <c r="P8" s="1620"/>
      <c r="Q8" s="1620"/>
      <c r="S8" s="3201"/>
      <c r="T8" s="3202"/>
      <c r="Y8" s="1742"/>
      <c r="Z8" s="1706">
        <v>8</v>
      </c>
      <c r="AZ8" s="1676"/>
    </row>
    <row r="9" spans="1:52" s="223" customFormat="1" ht="16.5" customHeight="1">
      <c r="A9" s="375"/>
      <c r="B9" s="823" t="s">
        <v>2652</v>
      </c>
      <c r="C9" s="223" t="s">
        <v>3300</v>
      </c>
      <c r="E9" s="1235" t="s">
        <v>2652</v>
      </c>
      <c r="F9" s="3214" t="s">
        <v>6659</v>
      </c>
      <c r="G9" s="3215"/>
      <c r="H9" s="3212"/>
      <c r="I9" s="3212"/>
      <c r="J9" s="3213"/>
      <c r="L9" s="823" t="s">
        <v>2652</v>
      </c>
      <c r="M9" s="224" t="s">
        <v>3877</v>
      </c>
      <c r="Q9" s="1620"/>
      <c r="S9" s="3203"/>
      <c r="T9" s="3204"/>
      <c r="Y9" s="1742"/>
      <c r="Z9" s="1706">
        <v>9</v>
      </c>
      <c r="AZ9" s="1676"/>
    </row>
    <row r="10" spans="1:52" s="223" customFormat="1" ht="16.5" customHeight="1">
      <c r="A10" s="375"/>
      <c r="B10" s="823" t="s">
        <v>2652</v>
      </c>
      <c r="C10" s="224" t="s">
        <v>2394</v>
      </c>
      <c r="F10" s="3216" t="s">
        <v>3769</v>
      </c>
      <c r="G10" s="3217"/>
      <c r="H10" s="3217"/>
      <c r="I10" s="3217"/>
      <c r="J10" s="3218"/>
      <c r="L10" s="823" t="s">
        <v>2652</v>
      </c>
      <c r="M10" s="224" t="s">
        <v>3192</v>
      </c>
      <c r="P10" s="1620"/>
      <c r="Q10" s="1620"/>
      <c r="S10" s="3199"/>
      <c r="T10" s="3200"/>
      <c r="Y10" s="1742"/>
      <c r="Z10" s="1706">
        <v>10</v>
      </c>
      <c r="AZ10" s="1676"/>
    </row>
    <row r="11" spans="1:52" s="223" customFormat="1" ht="16.5" customHeight="1">
      <c r="A11" s="375"/>
      <c r="B11" s="823" t="s">
        <v>2652</v>
      </c>
      <c r="C11" s="224" t="s">
        <v>2395</v>
      </c>
      <c r="E11" s="1235" t="s">
        <v>2652</v>
      </c>
      <c r="F11" s="3212" t="s">
        <v>6661</v>
      </c>
      <c r="G11" s="3212"/>
      <c r="H11" s="3212"/>
      <c r="I11" s="3212"/>
      <c r="J11" s="3213"/>
      <c r="L11" s="823" t="s">
        <v>2652</v>
      </c>
      <c r="M11" s="223" t="s">
        <v>2398</v>
      </c>
      <c r="S11" s="3201"/>
      <c r="T11" s="3202"/>
      <c r="Y11" s="1742"/>
      <c r="Z11" s="1706">
        <v>11</v>
      </c>
      <c r="AZ11" s="1676"/>
    </row>
    <row r="12" spans="1:52" s="223" customFormat="1" ht="16.5" customHeight="1">
      <c r="A12" s="375"/>
      <c r="B12" s="823" t="s">
        <v>2652</v>
      </c>
      <c r="C12" s="224" t="s">
        <v>3193</v>
      </c>
      <c r="F12" s="3205" t="s">
        <v>3770</v>
      </c>
      <c r="G12" s="3206"/>
      <c r="H12" s="3225"/>
      <c r="I12" s="3225"/>
      <c r="J12" s="3226"/>
      <c r="L12" s="823" t="s">
        <v>2652</v>
      </c>
      <c r="M12" s="223" t="s">
        <v>3219</v>
      </c>
      <c r="S12" s="3201"/>
      <c r="T12" s="3202"/>
      <c r="Y12" s="1742"/>
      <c r="Z12" s="1706">
        <v>12</v>
      </c>
      <c r="AZ12" s="1676"/>
    </row>
    <row r="13" spans="1:52" s="223" customFormat="1" ht="16.5" customHeight="1">
      <c r="A13" s="375"/>
      <c r="B13" s="823" t="s">
        <v>2652</v>
      </c>
      <c r="C13" s="224" t="s">
        <v>6662</v>
      </c>
      <c r="E13" s="1232" t="s">
        <v>2652</v>
      </c>
      <c r="F13" s="224" t="s">
        <v>6664</v>
      </c>
      <c r="H13" s="3205" t="s">
        <v>3291</v>
      </c>
      <c r="I13" s="3206"/>
      <c r="J13" s="3207"/>
      <c r="L13" s="823" t="s">
        <v>2652</v>
      </c>
      <c r="M13" s="223" t="s">
        <v>6078</v>
      </c>
      <c r="S13" s="3201"/>
      <c r="T13" s="3202"/>
      <c r="Y13" s="1742"/>
      <c r="Z13" s="1706">
        <v>13</v>
      </c>
      <c r="AZ13" s="1676"/>
    </row>
    <row r="14" spans="1:52" s="223" customFormat="1" ht="16.5" customHeight="1">
      <c r="A14" s="375"/>
      <c r="B14" s="823" t="s">
        <v>2652</v>
      </c>
      <c r="C14" s="223" t="s">
        <v>2397</v>
      </c>
      <c r="E14" s="823" t="s">
        <v>2652</v>
      </c>
      <c r="F14" s="224" t="s">
        <v>3299</v>
      </c>
      <c r="L14" s="823" t="s">
        <v>2652</v>
      </c>
      <c r="M14" s="223" t="s">
        <v>6710</v>
      </c>
      <c r="S14" s="3203"/>
      <c r="T14" s="3204"/>
      <c r="Y14" s="1742"/>
      <c r="Z14" s="1706">
        <v>14</v>
      </c>
      <c r="AZ14" s="1676"/>
    </row>
    <row r="15" spans="1:52" s="223" customFormat="1" ht="16.5" customHeight="1">
      <c r="A15" s="375"/>
      <c r="B15" s="823" t="s">
        <v>2652</v>
      </c>
      <c r="C15" s="223" t="s">
        <v>3218</v>
      </c>
      <c r="E15" s="823" t="s">
        <v>2652</v>
      </c>
      <c r="F15" s="224" t="s">
        <v>6081</v>
      </c>
      <c r="L15" s="823" t="s">
        <v>2649</v>
      </c>
      <c r="M15" s="1621" t="s">
        <v>6082</v>
      </c>
      <c r="Y15" s="1742"/>
      <c r="Z15" s="1706">
        <v>15</v>
      </c>
      <c r="AZ15" s="1676"/>
    </row>
    <row r="16" spans="1:52" s="223" customFormat="1" ht="16.5" customHeight="1">
      <c r="A16" s="375"/>
      <c r="B16" s="818" t="s">
        <v>2652</v>
      </c>
      <c r="C16" s="224" t="s">
        <v>1673</v>
      </c>
      <c r="E16" s="818" t="s">
        <v>2652</v>
      </c>
      <c r="F16" s="224" t="s">
        <v>6499</v>
      </c>
      <c r="I16" s="3183"/>
      <c r="J16" s="3184"/>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5"/>
      <c r="O19" s="3185"/>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6" t="s">
        <v>1220</v>
      </c>
      <c r="I21" s="3186"/>
      <c r="J21" s="3186"/>
      <c r="K21" s="3186"/>
      <c r="L21" s="3187" t="s">
        <v>3844</v>
      </c>
      <c r="M21" s="3187"/>
      <c r="N21" s="3187" t="s">
        <v>1410</v>
      </c>
      <c r="O21" s="3187"/>
      <c r="P21" s="3187" t="s">
        <v>1523</v>
      </c>
      <c r="Q21" s="3187"/>
      <c r="S21" s="3198" t="s">
        <v>2448</v>
      </c>
      <c r="T21" s="3198"/>
      <c r="Y21" s="1742"/>
      <c r="Z21" s="1706">
        <v>21</v>
      </c>
      <c r="AZ21" s="1676" t="s">
        <v>6340</v>
      </c>
    </row>
    <row r="22" spans="1:52" s="223" customFormat="1" ht="15.75" customHeight="1">
      <c r="A22" s="144"/>
      <c r="B22" s="3227" t="s">
        <v>1486</v>
      </c>
      <c r="C22" s="3228"/>
      <c r="D22" s="3228"/>
      <c r="E22" s="821"/>
      <c r="F22" s="821"/>
      <c r="G22" s="821"/>
      <c r="H22" s="3229" t="s">
        <v>7113</v>
      </c>
      <c r="I22" s="3230"/>
      <c r="J22" s="3230"/>
      <c r="K22" s="3231"/>
      <c r="L22" s="3232">
        <v>10109757</v>
      </c>
      <c r="M22" s="3233"/>
      <c r="N22" s="3234">
        <v>0.08</v>
      </c>
      <c r="O22" s="3235"/>
      <c r="P22" s="3236">
        <v>24</v>
      </c>
      <c r="Q22" s="3237"/>
      <c r="S22" s="3199"/>
      <c r="T22" s="3200"/>
      <c r="Y22" s="1742" t="s">
        <v>6340</v>
      </c>
      <c r="Z22" s="1706">
        <v>22</v>
      </c>
      <c r="AZ22" s="1676" t="s">
        <v>6341</v>
      </c>
    </row>
    <row r="23" spans="1:52" s="223" customFormat="1" ht="15.75" customHeight="1">
      <c r="A23" s="144"/>
      <c r="B23" s="3238" t="s">
        <v>1487</v>
      </c>
      <c r="C23" s="3239"/>
      <c r="D23" s="3239"/>
      <c r="E23" s="144"/>
      <c r="F23" s="144"/>
      <c r="G23" s="144"/>
      <c r="H23" s="3240" t="s">
        <v>7114</v>
      </c>
      <c r="I23" s="3241"/>
      <c r="J23" s="3241"/>
      <c r="K23" s="3242"/>
      <c r="L23" s="3243">
        <v>900000</v>
      </c>
      <c r="M23" s="3244"/>
      <c r="N23" s="3252">
        <v>3.6600000000000001E-2</v>
      </c>
      <c r="O23" s="3253"/>
      <c r="P23" s="3254">
        <v>24</v>
      </c>
      <c r="Q23" s="3255"/>
      <c r="S23" s="3201"/>
      <c r="T23" s="3202"/>
      <c r="Y23" s="1742" t="s">
        <v>6341</v>
      </c>
      <c r="Z23" s="1706">
        <v>23</v>
      </c>
      <c r="AZ23" s="1676" t="s">
        <v>6342</v>
      </c>
    </row>
    <row r="24" spans="1:52" s="223" customFormat="1" ht="15.75" customHeight="1">
      <c r="A24" s="144"/>
      <c r="B24" s="3256" t="s">
        <v>1488</v>
      </c>
      <c r="C24" s="3257"/>
      <c r="D24" s="3257"/>
      <c r="E24" s="826"/>
      <c r="F24" s="826"/>
      <c r="G24" s="826"/>
      <c r="H24" s="3188"/>
      <c r="I24" s="3189"/>
      <c r="J24" s="3189"/>
      <c r="K24" s="3190"/>
      <c r="L24" s="3191"/>
      <c r="M24" s="3192"/>
      <c r="N24" s="3193"/>
      <c r="O24" s="3194"/>
      <c r="P24" s="3195"/>
      <c r="Q24" s="3196"/>
      <c r="S24" s="3201"/>
      <c r="T24" s="3202"/>
      <c r="Y24" s="1742" t="s">
        <v>6342</v>
      </c>
      <c r="Z24" s="1706">
        <v>24</v>
      </c>
      <c r="AZ24" s="1676" t="s">
        <v>6343</v>
      </c>
    </row>
    <row r="25" spans="1:52" s="223" customFormat="1" ht="15.75" customHeight="1">
      <c r="A25" s="144"/>
      <c r="B25" s="3227" t="s">
        <v>2047</v>
      </c>
      <c r="C25" s="3228"/>
      <c r="D25" s="3228"/>
      <c r="E25" s="144"/>
      <c r="F25" s="144"/>
      <c r="G25" s="144"/>
      <c r="H25" s="3245"/>
      <c r="I25" s="3246"/>
      <c r="J25" s="3246"/>
      <c r="K25" s="3247"/>
      <c r="L25" s="3248"/>
      <c r="M25" s="3249"/>
      <c r="N25" s="3250"/>
      <c r="O25" s="3251"/>
      <c r="P25" s="3185"/>
      <c r="Q25" s="3185"/>
      <c r="S25" s="3201"/>
      <c r="T25" s="3202"/>
      <c r="Y25" s="1742" t="s">
        <v>6343</v>
      </c>
      <c r="Z25" s="1706">
        <v>25</v>
      </c>
      <c r="AZ25" s="1676" t="s">
        <v>6344</v>
      </c>
    </row>
    <row r="26" spans="1:52" s="223" customFormat="1" ht="15.75" customHeight="1">
      <c r="A26" s="144"/>
      <c r="B26" s="3238" t="s">
        <v>745</v>
      </c>
      <c r="C26" s="3239"/>
      <c r="D26" s="3239"/>
      <c r="E26" s="144"/>
      <c r="H26" s="3240"/>
      <c r="I26" s="3241"/>
      <c r="J26" s="3241"/>
      <c r="K26" s="3242"/>
      <c r="L26" s="3243"/>
      <c r="M26" s="3244"/>
      <c r="N26" s="3250"/>
      <c r="O26" s="3251"/>
      <c r="P26" s="3185"/>
      <c r="Q26" s="3185"/>
      <c r="S26" s="3201"/>
      <c r="T26" s="3202"/>
      <c r="Y26" s="1742" t="s">
        <v>6344</v>
      </c>
      <c r="Z26" s="1706">
        <v>26</v>
      </c>
      <c r="AZ26" s="1676" t="s">
        <v>6345</v>
      </c>
    </row>
    <row r="27" spans="1:52" s="223" customFormat="1" ht="15.75" customHeight="1">
      <c r="A27" s="144"/>
      <c r="B27" s="3238" t="s">
        <v>595</v>
      </c>
      <c r="C27" s="3239"/>
      <c r="D27" s="3239"/>
      <c r="E27" s="144"/>
      <c r="H27" s="3240"/>
      <c r="I27" s="3241"/>
      <c r="J27" s="3241"/>
      <c r="K27" s="3242"/>
      <c r="L27" s="3243"/>
      <c r="M27" s="3244"/>
      <c r="N27" s="3250"/>
      <c r="O27" s="3251"/>
      <c r="P27" s="3185"/>
      <c r="Q27" s="3185"/>
      <c r="S27" s="3201"/>
      <c r="T27" s="3202"/>
      <c r="Y27" s="1742" t="s">
        <v>6345</v>
      </c>
      <c r="Z27" s="1706">
        <v>27</v>
      </c>
      <c r="AZ27" s="1676" t="s">
        <v>6346</v>
      </c>
    </row>
    <row r="28" spans="1:52" s="223" customFormat="1" ht="15.75" customHeight="1">
      <c r="A28" s="144"/>
      <c r="B28" s="3238" t="s">
        <v>746</v>
      </c>
      <c r="C28" s="3239"/>
      <c r="D28" s="3239"/>
      <c r="E28" s="144"/>
      <c r="H28" s="3240" t="s">
        <v>7044</v>
      </c>
      <c r="I28" s="3241"/>
      <c r="J28" s="3241"/>
      <c r="K28" s="3242"/>
      <c r="L28" s="3243">
        <v>1857414.2000000002</v>
      </c>
      <c r="M28" s="3244"/>
      <c r="N28" s="144"/>
      <c r="Q28" s="144"/>
      <c r="S28" s="3203"/>
      <c r="T28" s="3204"/>
      <c r="Y28" s="1742" t="s">
        <v>6346</v>
      </c>
      <c r="Z28" s="1706">
        <v>28</v>
      </c>
      <c r="AZ28" s="1676" t="s">
        <v>6347</v>
      </c>
    </row>
    <row r="29" spans="1:52" s="223" customFormat="1" ht="15.75" customHeight="1">
      <c r="A29" s="144"/>
      <c r="B29" s="3238" t="s">
        <v>747</v>
      </c>
      <c r="C29" s="3239"/>
      <c r="D29" s="3239"/>
      <c r="E29" s="144"/>
      <c r="H29" s="3240" t="s">
        <v>7044</v>
      </c>
      <c r="I29" s="3241"/>
      <c r="J29" s="3241"/>
      <c r="K29" s="3242"/>
      <c r="L29" s="3243">
        <v>889831</v>
      </c>
      <c r="M29" s="3244"/>
      <c r="N29" s="144"/>
      <c r="Q29" s="144"/>
      <c r="S29" s="3199"/>
      <c r="T29" s="3200"/>
      <c r="Y29" s="1742" t="s">
        <v>6347</v>
      </c>
      <c r="Z29" s="1706">
        <v>29</v>
      </c>
      <c r="AZ29" s="1676" t="s">
        <v>6348</v>
      </c>
    </row>
    <row r="30" spans="1:52" s="223" customFormat="1" ht="15.75" customHeight="1">
      <c r="A30" s="144"/>
      <c r="B30" s="820" t="s">
        <v>232</v>
      </c>
      <c r="C30" s="144"/>
      <c r="D30" s="3258"/>
      <c r="E30" s="3258"/>
      <c r="F30" s="3258"/>
      <c r="G30" s="3258"/>
      <c r="H30" s="3240"/>
      <c r="I30" s="3241"/>
      <c r="J30" s="3241"/>
      <c r="K30" s="3242"/>
      <c r="L30" s="3243"/>
      <c r="M30" s="3244"/>
      <c r="N30" s="144"/>
      <c r="Q30" s="144"/>
      <c r="S30" s="3201"/>
      <c r="T30" s="3202"/>
      <c r="Y30" s="1742" t="s">
        <v>6348</v>
      </c>
      <c r="Z30" s="1706">
        <v>30</v>
      </c>
      <c r="AZ30" s="1676" t="s">
        <v>6349</v>
      </c>
    </row>
    <row r="31" spans="1:52" s="223" customFormat="1" ht="15.75" customHeight="1">
      <c r="A31" s="144"/>
      <c r="B31" s="820" t="s">
        <v>232</v>
      </c>
      <c r="C31" s="144"/>
      <c r="D31" s="3259"/>
      <c r="E31" s="3259"/>
      <c r="F31" s="3259"/>
      <c r="G31" s="3259"/>
      <c r="H31" s="3240"/>
      <c r="I31" s="3241"/>
      <c r="J31" s="3241"/>
      <c r="K31" s="3242"/>
      <c r="L31" s="3243"/>
      <c r="M31" s="3244"/>
      <c r="N31" s="144"/>
      <c r="S31" s="3201"/>
      <c r="T31" s="3202"/>
      <c r="Y31" s="1742" t="s">
        <v>6349</v>
      </c>
      <c r="Z31" s="1706">
        <v>31</v>
      </c>
      <c r="AZ31" s="1676" t="s">
        <v>6350</v>
      </c>
    </row>
    <row r="32" spans="1:52" s="223" customFormat="1" ht="15.75" customHeight="1">
      <c r="A32" s="144"/>
      <c r="B32" s="825" t="s">
        <v>232</v>
      </c>
      <c r="C32" s="826"/>
      <c r="D32" s="3260"/>
      <c r="E32" s="3260"/>
      <c r="F32" s="3260"/>
      <c r="G32" s="3260"/>
      <c r="H32" s="3188"/>
      <c r="I32" s="3189"/>
      <c r="J32" s="3189"/>
      <c r="K32" s="3190"/>
      <c r="L32" s="3191"/>
      <c r="M32" s="3192"/>
      <c r="N32" s="144"/>
      <c r="S32" s="3201"/>
      <c r="T32" s="3202"/>
      <c r="Y32" s="1742" t="s">
        <v>6350</v>
      </c>
      <c r="Z32" s="1706">
        <v>32</v>
      </c>
      <c r="AZ32" s="1676"/>
    </row>
    <row r="33" spans="1:52" s="223" customFormat="1" ht="16.5" customHeight="1">
      <c r="A33" s="144"/>
      <c r="B33" s="222" t="s">
        <v>1221</v>
      </c>
      <c r="C33" s="144"/>
      <c r="D33" s="144"/>
      <c r="E33" s="144"/>
      <c r="F33" s="144"/>
      <c r="G33" s="144"/>
      <c r="H33" s="144"/>
      <c r="I33" s="144"/>
      <c r="L33" s="3261">
        <f>SUM(L22:L32)</f>
        <v>13757002.199999999</v>
      </c>
      <c r="M33" s="3262"/>
      <c r="N33" s="145"/>
      <c r="S33" s="3201"/>
      <c r="T33" s="3202"/>
      <c r="Y33" s="1742"/>
      <c r="Z33" s="1706">
        <v>33</v>
      </c>
      <c r="AZ33" s="1676"/>
    </row>
    <row r="34" spans="1:52" s="223" customFormat="1" ht="16.5" customHeight="1">
      <c r="A34" s="144"/>
      <c r="B34" s="246" t="s">
        <v>1222</v>
      </c>
      <c r="C34" s="144"/>
      <c r="D34" s="144"/>
      <c r="E34" s="144"/>
      <c r="F34" s="144"/>
      <c r="G34" s="144"/>
      <c r="H34" s="144"/>
      <c r="I34" s="144"/>
      <c r="L34" s="3263">
        <f>'Part III-A-Uses of Funds'!$G$146-'Part III-A-Uses of Funds'!$G$103-'Part III-A-Uses of Funds'!$G$109-'Part III-A-Uses of Funds'!$G$130-'Part III-A-Uses of Funds'!$G$131-'Part III-A-Uses of Funds'!$G$132-'Part III-A-Uses of Funds'!$G$127+'Part III-A-Uses of Funds'!$F$123</f>
        <v>13757002.182497175</v>
      </c>
      <c r="M34" s="3264"/>
      <c r="N34" s="657"/>
      <c r="S34" s="3201"/>
      <c r="T34" s="3202"/>
      <c r="Y34" s="1742"/>
      <c r="Z34" s="1706">
        <v>34</v>
      </c>
      <c r="AZ34" s="1676"/>
    </row>
    <row r="35" spans="1:52" s="223" customFormat="1" ht="16.5" customHeight="1">
      <c r="A35" s="144"/>
      <c r="B35" s="246" t="s">
        <v>2002</v>
      </c>
      <c r="C35" s="144"/>
      <c r="D35" s="144"/>
      <c r="E35" s="144"/>
      <c r="F35" s="144"/>
      <c r="G35" s="144"/>
      <c r="H35" s="144"/>
      <c r="I35" s="144"/>
      <c r="L35" s="3265">
        <f>L33-L34</f>
        <v>1.750282384455204E-2</v>
      </c>
      <c r="M35" s="3266"/>
      <c r="N35" s="657"/>
      <c r="S35" s="3203"/>
      <c r="T35" s="320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5"/>
      <c r="I38" s="3185"/>
      <c r="K38" s="252" t="s">
        <v>1948</v>
      </c>
      <c r="L38" s="248" t="s">
        <v>1218</v>
      </c>
      <c r="M38" s="248" t="s">
        <v>1223</v>
      </c>
      <c r="P38" s="3267" t="s">
        <v>31</v>
      </c>
      <c r="Q38" s="3267"/>
      <c r="S38" s="258"/>
      <c r="Y38" s="1742"/>
      <c r="Z38" s="1706">
        <v>38</v>
      </c>
      <c r="AZ38" s="1676"/>
    </row>
    <row r="39" spans="1:52" s="223" customFormat="1" ht="13.35" customHeight="1">
      <c r="A39" s="144"/>
      <c r="B39" s="827" t="s">
        <v>1734</v>
      </c>
      <c r="C39" s="826"/>
      <c r="D39" s="826"/>
      <c r="E39" s="3269" t="s">
        <v>1220</v>
      </c>
      <c r="F39" s="3269"/>
      <c r="G39" s="3269"/>
      <c r="H39" s="3269"/>
      <c r="I39" s="3187" t="s">
        <v>3843</v>
      </c>
      <c r="J39" s="3187"/>
      <c r="K39" s="446" t="s">
        <v>1675</v>
      </c>
      <c r="L39" s="446" t="s">
        <v>2046</v>
      </c>
      <c r="M39" s="446" t="s">
        <v>2046</v>
      </c>
      <c r="N39" s="3187" t="s">
        <v>69</v>
      </c>
      <c r="O39" s="3187"/>
      <c r="P39" s="3268"/>
      <c r="Q39" s="3268"/>
      <c r="S39" s="3198" t="s">
        <v>2448</v>
      </c>
      <c r="T39" s="3198"/>
      <c r="Y39" s="1742"/>
      <c r="Z39" s="1706">
        <v>39</v>
      </c>
      <c r="AZ39" s="1676" t="s">
        <v>6351</v>
      </c>
    </row>
    <row r="40" spans="1:52" s="223" customFormat="1" ht="15" customHeight="1">
      <c r="A40" s="144"/>
      <c r="B40" s="3227" t="s">
        <v>2402</v>
      </c>
      <c r="C40" s="3228"/>
      <c r="D40" s="3228"/>
      <c r="E40" s="3229" t="s">
        <v>7043</v>
      </c>
      <c r="F40" s="3230"/>
      <c r="G40" s="3230"/>
      <c r="H40" s="3231"/>
      <c r="I40" s="3289">
        <v>900000</v>
      </c>
      <c r="J40" s="3290"/>
      <c r="K40" s="654">
        <v>3.6600000000000001E-2</v>
      </c>
      <c r="L40" s="822">
        <v>10</v>
      </c>
      <c r="M40" s="822">
        <v>25</v>
      </c>
      <c r="N40" s="3274" t="s">
        <v>7045</v>
      </c>
      <c r="O40" s="3274"/>
      <c r="P40" s="3288">
        <f>IF(OR(I40&lt;=0,I40=""),"",IF(N40="Cash Flow",0,IF(N40="Amortizing",-PMT(K40/12,M40*12,I40,0,0)*12,"")))</f>
        <v>54998.516249654567</v>
      </c>
      <c r="Q40" s="3288"/>
      <c r="S40" s="3199"/>
      <c r="T40" s="3200"/>
      <c r="Y40" s="1742" t="s">
        <v>6351</v>
      </c>
      <c r="Z40" s="1706">
        <v>40</v>
      </c>
      <c r="AZ40" s="1676" t="s">
        <v>6352</v>
      </c>
    </row>
    <row r="41" spans="1:52" s="223" customFormat="1" ht="15" customHeight="1">
      <c r="A41" s="144"/>
      <c r="B41" s="3238" t="s">
        <v>2403</v>
      </c>
      <c r="C41" s="3239"/>
      <c r="D41" s="3239"/>
      <c r="E41" s="3240"/>
      <c r="F41" s="3241"/>
      <c r="G41" s="3241"/>
      <c r="H41" s="3242"/>
      <c r="I41" s="3271"/>
      <c r="J41" s="3272"/>
      <c r="K41" s="655"/>
      <c r="L41" s="823"/>
      <c r="M41" s="823"/>
      <c r="N41" s="3270"/>
      <c r="O41" s="3270"/>
      <c r="P41" s="3273" t="str">
        <f>IF(OR(I41&lt;=0,I41=""),"",IF(N41="Cash Flow",0,IF(N41="Amortizing",-PMT(K41/12,M41*12,I41,0,0)*12,"")))</f>
        <v/>
      </c>
      <c r="Q41" s="3273"/>
      <c r="S41" s="3201"/>
      <c r="T41" s="3202"/>
      <c r="Y41" s="1742" t="s">
        <v>6352</v>
      </c>
      <c r="Z41" s="1706">
        <v>41</v>
      </c>
      <c r="AZ41" s="1676" t="s">
        <v>6353</v>
      </c>
    </row>
    <row r="42" spans="1:52" s="223" customFormat="1" ht="15" customHeight="1">
      <c r="A42" s="144"/>
      <c r="B42" s="3238" t="s">
        <v>2404</v>
      </c>
      <c r="C42" s="3239"/>
      <c r="D42" s="3239"/>
      <c r="E42" s="3240"/>
      <c r="F42" s="3241"/>
      <c r="G42" s="3241"/>
      <c r="H42" s="3242"/>
      <c r="I42" s="3271"/>
      <c r="J42" s="3272"/>
      <c r="K42" s="655"/>
      <c r="L42" s="823"/>
      <c r="M42" s="823"/>
      <c r="N42" s="3270"/>
      <c r="O42" s="3270"/>
      <c r="P42" s="3273" t="str">
        <f>IF(OR(I42&lt;=0,I42=""),"",IF(N42="Cash Flow",0,IF(N42="Amortizing",-PMT(K42/12,M42*12,I42,0,0)*12,"")))</f>
        <v/>
      </c>
      <c r="Q42" s="3273"/>
      <c r="S42" s="3201"/>
      <c r="T42" s="3202"/>
      <c r="Y42" s="1742" t="s">
        <v>6353</v>
      </c>
      <c r="Z42" s="1706">
        <v>42</v>
      </c>
      <c r="AZ42" s="1676" t="s">
        <v>6354</v>
      </c>
    </row>
    <row r="43" spans="1:52" s="223" customFormat="1" ht="15" customHeight="1">
      <c r="A43" s="144"/>
      <c r="B43" s="820" t="s">
        <v>690</v>
      </c>
      <c r="C43" s="3296"/>
      <c r="D43" s="3297"/>
      <c r="E43" s="3240"/>
      <c r="F43" s="3241"/>
      <c r="G43" s="3241"/>
      <c r="H43" s="3242"/>
      <c r="I43" s="3298"/>
      <c r="J43" s="3299"/>
      <c r="K43" s="656"/>
      <c r="L43" s="818"/>
      <c r="M43" s="818"/>
      <c r="N43" s="3301"/>
      <c r="O43" s="3301"/>
      <c r="P43" s="3300" t="str">
        <f>IF(OR(I43&lt;=0,I43=""),"",IF(N43="Cash Flow",0,IF(N43="Amortizing",-PMT(K43/12,M43*12,I43,0,0)*12,"")))</f>
        <v/>
      </c>
      <c r="Q43" s="3300"/>
      <c r="S43" s="3201"/>
      <c r="T43" s="3202"/>
      <c r="Y43" s="1742" t="s">
        <v>6354</v>
      </c>
      <c r="Z43" s="1706">
        <v>43</v>
      </c>
      <c r="AZ43" s="1676" t="s">
        <v>6355</v>
      </c>
    </row>
    <row r="44" spans="1:52" s="223" customFormat="1" ht="15" customHeight="1">
      <c r="A44" s="144"/>
      <c r="B44" s="820" t="s">
        <v>3943</v>
      </c>
      <c r="C44" s="144"/>
      <c r="D44" s="824"/>
      <c r="E44" s="3240"/>
      <c r="F44" s="3241"/>
      <c r="G44" s="3241"/>
      <c r="H44" s="3242"/>
      <c r="I44" s="3271"/>
      <c r="J44" s="3272"/>
      <c r="K44" s="364"/>
      <c r="L44" s="819"/>
      <c r="M44" s="819"/>
      <c r="N44" s="3303"/>
      <c r="O44" s="3303"/>
      <c r="P44" s="3302"/>
      <c r="Q44" s="3302"/>
      <c r="S44" s="3201"/>
      <c r="T44" s="3202"/>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4.6198347107438012E-3</v>
      </c>
      <c r="E45" s="3188" t="s">
        <v>7052</v>
      </c>
      <c r="F45" s="3189"/>
      <c r="G45" s="3189"/>
      <c r="H45" s="3190"/>
      <c r="I45" s="3275">
        <v>5590</v>
      </c>
      <c r="J45" s="3276"/>
      <c r="K45" s="653">
        <v>0</v>
      </c>
      <c r="L45" s="652">
        <v>15</v>
      </c>
      <c r="M45" s="652"/>
      <c r="N45" s="3045" t="s">
        <v>1096</v>
      </c>
      <c r="O45" s="3046"/>
      <c r="P45" s="3277">
        <f>IF(OR(I45&lt;=0,I45=""),"",IF(N45="Cash Flow",0,IF(N45="Amortizing",-PMT(K45/12,M45*12,I45,0,0)*12,"")))</f>
        <v>0</v>
      </c>
      <c r="Q45" s="3278"/>
      <c r="S45" s="3201"/>
      <c r="T45" s="3202"/>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01"/>
      <c r="T46" s="3202"/>
      <c r="Y46" s="1742"/>
      <c r="Z46" s="1706">
        <v>46</v>
      </c>
      <c r="AZ46" s="1676"/>
    </row>
    <row r="47" spans="1:52" s="223" customFormat="1" ht="15" customHeight="1">
      <c r="A47" s="144"/>
      <c r="B47" s="223" t="s">
        <v>3405</v>
      </c>
      <c r="C47" s="144"/>
      <c r="E47" s="223" t="s">
        <v>3363</v>
      </c>
      <c r="F47" s="3286">
        <f>IF(OR($I$45="",$I$45=0,'Part VI-Pro Forma'!$S$35=0,'Part VI-Pro Forma'!$S$35=""),"",VLOOKUP($L$45,'Part VI-Pro Forma'!$Q$21:$S$40,3))</f>
        <v>175786.77014490319</v>
      </c>
      <c r="G47" s="3287"/>
      <c r="H47" s="485" t="s">
        <v>3404</v>
      </c>
      <c r="I47" s="3286">
        <f>IF(OR($I$45="",$I$45=0,'Part VI-Pro Forma'!$R$35=0,'Part VI-Pro Forma'!$R$35=""),"",VLOOKUP($L$45,'Part VI-Pro Forma'!$Q$21:$S$35,2))</f>
        <v>5590</v>
      </c>
      <c r="J47" s="3287"/>
      <c r="K47" s="485" t="s">
        <v>3406</v>
      </c>
      <c r="L47" s="3284">
        <f>IF(OR($F$47 = 0,$F$47 =""),"",$I$47/$F$47)</f>
        <v>3.1799890261321115E-2</v>
      </c>
      <c r="M47" s="3285"/>
      <c r="N47" s="3309" t="s">
        <v>3847</v>
      </c>
      <c r="O47" s="3310"/>
      <c r="P47" s="3307">
        <f>IF(OR($I$62=0,$I$60&gt;$I$61),0,ABS($I$60-$I$61))</f>
        <v>0.1824971754103899</v>
      </c>
      <c r="Q47" s="3308"/>
      <c r="S47" s="3201"/>
      <c r="T47" s="320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3"/>
      <c r="T48" s="3204"/>
      <c r="Y48" s="1742"/>
      <c r="Z48" s="1706">
        <v>48</v>
      </c>
      <c r="AZ48" s="1676" t="s">
        <v>6357</v>
      </c>
    </row>
    <row r="49" spans="1:52" s="223" customFormat="1" ht="15" customHeight="1">
      <c r="A49" s="144"/>
      <c r="B49" s="3291" t="s">
        <v>2047</v>
      </c>
      <c r="C49" s="3292"/>
      <c r="D49" s="3293"/>
      <c r="E49" s="3229"/>
      <c r="F49" s="3230"/>
      <c r="G49" s="3230"/>
      <c r="H49" s="3231"/>
      <c r="I49" s="3294"/>
      <c r="J49" s="3295"/>
      <c r="K49" s="144"/>
      <c r="L49" s="144"/>
      <c r="M49" s="144"/>
      <c r="N49" s="144"/>
      <c r="O49" s="144"/>
      <c r="P49" s="248" t="s">
        <v>483</v>
      </c>
      <c r="Q49" s="144"/>
      <c r="S49" s="3199"/>
      <c r="T49" s="3200"/>
      <c r="Y49" s="1742" t="s">
        <v>6357</v>
      </c>
      <c r="Z49" s="1706">
        <v>49</v>
      </c>
      <c r="AZ49" s="1676" t="s">
        <v>6358</v>
      </c>
    </row>
    <row r="50" spans="1:52" s="223" customFormat="1" ht="15" customHeight="1">
      <c r="A50" s="144"/>
      <c r="B50" s="3238" t="s">
        <v>745</v>
      </c>
      <c r="C50" s="3239"/>
      <c r="D50" s="3279"/>
      <c r="E50" s="3240"/>
      <c r="F50" s="3241"/>
      <c r="G50" s="3241"/>
      <c r="H50" s="3242"/>
      <c r="I50" s="3271"/>
      <c r="J50" s="3272"/>
      <c r="L50" s="3280" t="s">
        <v>484</v>
      </c>
      <c r="M50" s="3280"/>
      <c r="N50" s="3281" t="s">
        <v>485</v>
      </c>
      <c r="O50" s="3281"/>
      <c r="P50" s="313" t="s">
        <v>2357</v>
      </c>
      <c r="Q50" s="144"/>
      <c r="S50" s="3201"/>
      <c r="T50" s="3202"/>
      <c r="Y50" s="1742" t="s">
        <v>6358</v>
      </c>
      <c r="Z50" s="1706">
        <v>50</v>
      </c>
      <c r="AZ50" s="1676" t="s">
        <v>6359</v>
      </c>
    </row>
    <row r="51" spans="1:52" s="223" customFormat="1" ht="15" customHeight="1">
      <c r="A51" s="144"/>
      <c r="B51" s="3238" t="s">
        <v>746</v>
      </c>
      <c r="C51" s="3239"/>
      <c r="D51" s="3279"/>
      <c r="E51" s="3240" t="s">
        <v>7044</v>
      </c>
      <c r="F51" s="3241"/>
      <c r="G51" s="3241"/>
      <c r="H51" s="3242"/>
      <c r="I51" s="3271">
        <v>9287071</v>
      </c>
      <c r="J51" s="3271"/>
      <c r="L51" s="3282">
        <f>'Part III-A-Uses of Funds'!$J$191*10*'Part III-A-Uses of Funds'!$N$182</f>
        <v>9288000</v>
      </c>
      <c r="M51" s="3282"/>
      <c r="N51" s="3283">
        <f>I51-L51</f>
        <v>-929</v>
      </c>
      <c r="O51" s="3283"/>
      <c r="P51" s="324">
        <f>I51/I61</f>
        <v>0.63428408636230271</v>
      </c>
      <c r="Q51" s="144"/>
      <c r="S51" s="3201"/>
      <c r="T51" s="3202"/>
      <c r="Y51" s="1742" t="s">
        <v>6359</v>
      </c>
      <c r="Z51" s="1706">
        <v>51</v>
      </c>
      <c r="AZ51" s="1676" t="s">
        <v>6360</v>
      </c>
    </row>
    <row r="52" spans="1:52" s="223" customFormat="1" ht="15" customHeight="1">
      <c r="A52" s="144"/>
      <c r="B52" s="3238" t="s">
        <v>747</v>
      </c>
      <c r="C52" s="3239"/>
      <c r="D52" s="3279"/>
      <c r="E52" s="3240" t="s">
        <v>7044</v>
      </c>
      <c r="F52" s="3241"/>
      <c r="G52" s="3241"/>
      <c r="H52" s="3242"/>
      <c r="I52" s="3271">
        <v>4449155</v>
      </c>
      <c r="J52" s="3271"/>
      <c r="L52" s="3282">
        <f>'Part III-A-Uses of Funds'!$J$191*10*'Part III-A-Uses of Funds'!$Q$182</f>
        <v>4449600</v>
      </c>
      <c r="M52" s="3282"/>
      <c r="N52" s="3283">
        <f>I52-L52</f>
        <v>-445</v>
      </c>
      <c r="O52" s="3283"/>
      <c r="P52" s="324">
        <f>I52/I61</f>
        <v>0.30386633355761694</v>
      </c>
      <c r="Q52" s="144"/>
      <c r="S52" s="3201"/>
      <c r="T52" s="3202"/>
      <c r="Y52" s="1742" t="s">
        <v>6360</v>
      </c>
      <c r="Z52" s="1706">
        <v>52</v>
      </c>
      <c r="AZ52" s="1676" t="s">
        <v>6361</v>
      </c>
    </row>
    <row r="53" spans="1:52" s="223" customFormat="1" ht="15" customHeight="1">
      <c r="A53" s="144"/>
      <c r="B53" s="3238" t="s">
        <v>1331</v>
      </c>
      <c r="C53" s="3239"/>
      <c r="D53" s="3279"/>
      <c r="E53" s="3240"/>
      <c r="F53" s="3241"/>
      <c r="G53" s="3241"/>
      <c r="H53" s="3242"/>
      <c r="I53" s="3271"/>
      <c r="J53" s="3271"/>
      <c r="P53" s="325">
        <f>SUM(P51:P52)</f>
        <v>0.93815041991991965</v>
      </c>
      <c r="Q53" s="144"/>
      <c r="S53" s="3203"/>
      <c r="T53" s="3204"/>
      <c r="Y53" s="1742" t="s">
        <v>6361</v>
      </c>
      <c r="Z53" s="1706">
        <v>53</v>
      </c>
      <c r="AZ53" s="1676"/>
    </row>
    <row r="54" spans="1:52" s="223" customFormat="1" ht="15" customHeight="1">
      <c r="A54" s="144"/>
      <c r="B54" s="820" t="s">
        <v>497</v>
      </c>
      <c r="C54" s="144"/>
      <c r="D54" s="824"/>
      <c r="E54" s="3240"/>
      <c r="F54" s="3241"/>
      <c r="G54" s="3241"/>
      <c r="H54" s="3242"/>
      <c r="I54" s="3271"/>
      <c r="J54" s="3271"/>
      <c r="K54" s="144"/>
      <c r="Q54" s="144"/>
      <c r="S54" s="3201"/>
      <c r="T54" s="3202"/>
      <c r="Y54" s="1742"/>
      <c r="Z54" s="1706">
        <v>54</v>
      </c>
      <c r="AZ54" s="1676"/>
    </row>
    <row r="55" spans="1:52" s="223" customFormat="1" ht="15" customHeight="1">
      <c r="A55" s="144"/>
      <c r="B55" s="820" t="s">
        <v>1732</v>
      </c>
      <c r="C55" s="144"/>
      <c r="D55" s="824"/>
      <c r="E55" s="3240"/>
      <c r="F55" s="3241"/>
      <c r="G55" s="3241"/>
      <c r="H55" s="3242"/>
      <c r="I55" s="3271"/>
      <c r="J55" s="3271"/>
      <c r="N55" s="301"/>
      <c r="O55" s="301"/>
      <c r="P55" s="301"/>
      <c r="Q55" s="144"/>
      <c r="S55" s="3201"/>
      <c r="T55" s="3202"/>
      <c r="Y55" s="1742"/>
      <c r="Z55" s="1706">
        <v>55</v>
      </c>
      <c r="AZ55" s="1676"/>
    </row>
    <row r="56" spans="1:52" s="223" customFormat="1" ht="15" customHeight="1">
      <c r="A56" s="144"/>
      <c r="B56" s="820" t="s">
        <v>1733</v>
      </c>
      <c r="C56" s="144"/>
      <c r="D56" s="824"/>
      <c r="E56" s="3240"/>
      <c r="F56" s="3241"/>
      <c r="G56" s="3241"/>
      <c r="H56" s="3242"/>
      <c r="I56" s="3271"/>
      <c r="J56" s="3271"/>
      <c r="M56" s="301"/>
      <c r="N56" s="301"/>
      <c r="O56" s="301"/>
      <c r="P56" s="301"/>
      <c r="Q56" s="144"/>
      <c r="S56" s="3201"/>
      <c r="T56" s="3202"/>
      <c r="Y56" s="1742"/>
      <c r="Z56" s="1706">
        <v>56</v>
      </c>
      <c r="AZ56" s="1676" t="s">
        <v>6362</v>
      </c>
    </row>
    <row r="57" spans="1:52" s="223" customFormat="1" ht="15" customHeight="1">
      <c r="A57" s="144"/>
      <c r="B57" s="820" t="s">
        <v>690</v>
      </c>
      <c r="C57" s="3258"/>
      <c r="D57" s="3258"/>
      <c r="E57" s="3240"/>
      <c r="F57" s="3241"/>
      <c r="G57" s="3241"/>
      <c r="H57" s="3242"/>
      <c r="I57" s="3271"/>
      <c r="J57" s="3271"/>
      <c r="M57" s="301"/>
      <c r="N57" s="301"/>
      <c r="O57" s="301"/>
      <c r="P57" s="301"/>
      <c r="Q57" s="144"/>
      <c r="S57" s="3201"/>
      <c r="T57" s="3202"/>
      <c r="Y57" s="1742" t="s">
        <v>6362</v>
      </c>
      <c r="Z57" s="1706">
        <v>57</v>
      </c>
      <c r="AZ57" s="1676" t="s">
        <v>6363</v>
      </c>
    </row>
    <row r="58" spans="1:52" s="223" customFormat="1" ht="15" customHeight="1">
      <c r="A58" s="144"/>
      <c r="B58" s="820" t="s">
        <v>690</v>
      </c>
      <c r="C58" s="3259"/>
      <c r="D58" s="3259"/>
      <c r="E58" s="3240"/>
      <c r="F58" s="3241"/>
      <c r="G58" s="3241"/>
      <c r="H58" s="3242"/>
      <c r="I58" s="3271"/>
      <c r="J58" s="3271"/>
      <c r="K58" s="144"/>
      <c r="L58" s="248"/>
      <c r="M58" s="301"/>
      <c r="N58" s="301"/>
      <c r="O58" s="301"/>
      <c r="P58" s="301"/>
      <c r="Q58" s="144"/>
      <c r="S58" s="3201"/>
      <c r="T58" s="3202"/>
      <c r="Y58" s="1742" t="s">
        <v>6363</v>
      </c>
      <c r="Z58" s="1706">
        <v>58</v>
      </c>
      <c r="AZ58" s="1676" t="s">
        <v>6364</v>
      </c>
    </row>
    <row r="59" spans="1:52" s="223" customFormat="1" ht="15" customHeight="1">
      <c r="A59" s="144"/>
      <c r="B59" s="825" t="s">
        <v>690</v>
      </c>
      <c r="C59" s="3260"/>
      <c r="D59" s="3260"/>
      <c r="E59" s="3188"/>
      <c r="F59" s="3189"/>
      <c r="G59" s="3189"/>
      <c r="H59" s="3190"/>
      <c r="I59" s="3311"/>
      <c r="J59" s="3311"/>
      <c r="K59" s="144"/>
      <c r="L59" s="248"/>
      <c r="M59" s="301"/>
      <c r="N59" s="301"/>
      <c r="O59" s="301"/>
      <c r="P59" s="301"/>
      <c r="Q59" s="144"/>
      <c r="S59" s="3201"/>
      <c r="T59" s="3202"/>
      <c r="Y59" s="1742" t="s">
        <v>6364</v>
      </c>
      <c r="Z59" s="1706">
        <v>59</v>
      </c>
      <c r="AZ59" s="1676"/>
    </row>
    <row r="60" spans="1:52" s="223" customFormat="1" ht="14.25" customHeight="1">
      <c r="A60" s="144"/>
      <c r="B60" s="246" t="s">
        <v>2048</v>
      </c>
      <c r="C60" s="144"/>
      <c r="D60" s="144"/>
      <c r="E60" s="144"/>
      <c r="F60" s="144"/>
      <c r="G60" s="144"/>
      <c r="I60" s="3312">
        <f>SUM(I40:J45)+SUM(I49:J59)</f>
        <v>14641816</v>
      </c>
      <c r="J60" s="3313"/>
      <c r="K60" s="144"/>
      <c r="L60" s="248"/>
      <c r="M60" s="301"/>
      <c r="N60" s="301"/>
      <c r="O60" s="301"/>
      <c r="P60" s="301"/>
      <c r="Q60" s="144"/>
      <c r="S60" s="3201"/>
      <c r="T60" s="3202"/>
      <c r="Y60" s="1742"/>
      <c r="Z60" s="1706">
        <v>60</v>
      </c>
      <c r="AZ60" s="1676"/>
    </row>
    <row r="61" spans="1:52" s="223" customFormat="1" ht="14.25" customHeight="1" thickBot="1">
      <c r="A61" s="144"/>
      <c r="B61" s="246" t="s">
        <v>2049</v>
      </c>
      <c r="C61" s="144"/>
      <c r="D61" s="144"/>
      <c r="E61" s="144"/>
      <c r="F61" s="144"/>
      <c r="G61" s="144"/>
      <c r="I61" s="3314">
        <f>'Part III-A-Uses of Funds'!$G$146</f>
        <v>14641816.182497175</v>
      </c>
      <c r="J61" s="3315"/>
      <c r="K61" s="144"/>
      <c r="L61" s="248"/>
      <c r="M61" s="301"/>
      <c r="N61" s="301"/>
      <c r="O61" s="301"/>
      <c r="P61" s="301"/>
      <c r="Q61" s="144"/>
      <c r="S61" s="3201"/>
      <c r="T61" s="3202"/>
      <c r="Y61" s="1742"/>
      <c r="Z61" s="1706">
        <v>61</v>
      </c>
      <c r="AZ61" s="1676"/>
    </row>
    <row r="62" spans="1:52" s="223" customFormat="1" ht="14.25" customHeight="1" thickBot="1">
      <c r="A62" s="144"/>
      <c r="B62" s="246" t="s">
        <v>1428</v>
      </c>
      <c r="C62" s="144"/>
      <c r="D62" s="144"/>
      <c r="E62" s="144"/>
      <c r="F62" s="144"/>
      <c r="G62" s="144"/>
      <c r="I62" s="3316">
        <f>I60-I61</f>
        <v>-0.1824971754103899</v>
      </c>
      <c r="J62" s="3317"/>
      <c r="K62" s="144"/>
      <c r="L62" s="248"/>
      <c r="M62" s="301"/>
      <c r="N62" s="301"/>
      <c r="O62" s="301"/>
      <c r="P62" s="301"/>
      <c r="Q62" s="144"/>
      <c r="S62" s="3203"/>
      <c r="T62" s="3204"/>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6" t="s">
        <v>7121</v>
      </c>
      <c r="B66" s="3306"/>
      <c r="C66" s="3306"/>
      <c r="D66" s="3306"/>
      <c r="E66" s="3306"/>
      <c r="F66" s="3306"/>
      <c r="G66" s="3306"/>
      <c r="H66" s="3306"/>
      <c r="I66" s="3306"/>
      <c r="J66" s="3306"/>
      <c r="K66" s="3306"/>
      <c r="L66" s="3306"/>
      <c r="M66" s="3305"/>
      <c r="N66" s="3305"/>
      <c r="O66" s="3305"/>
      <c r="P66" s="3305"/>
      <c r="Q66" s="3305"/>
      <c r="S66" s="3304" t="s">
        <v>2452</v>
      </c>
      <c r="T66" s="3304"/>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5" t="e">
        <f>CONCATENATE("PART III B: USD 538 LOAN","  -  ",#REF!," ",#REF!,", ",#REF!,", ",#REF!," County")</f>
        <v>#REF!</v>
      </c>
      <c r="B1" s="3326"/>
      <c r="C1" s="3326"/>
      <c r="D1" s="3326"/>
      <c r="E1" s="3326"/>
      <c r="F1" s="3327"/>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8" t="s">
        <v>210</v>
      </c>
      <c r="B3" s="3318"/>
      <c r="C3" s="3318"/>
      <c r="D3" s="3318"/>
      <c r="E3" s="3318"/>
      <c r="F3" s="3318"/>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9" t="s">
        <v>122</v>
      </c>
      <c r="B14" s="3319"/>
      <c r="C14" s="3319"/>
      <c r="D14" s="3319"/>
      <c r="E14" s="3319"/>
      <c r="F14" s="3319"/>
      <c r="G14" s="162"/>
      <c r="H14" s="162"/>
    </row>
    <row r="15" spans="1:17" ht="5.65" customHeight="1">
      <c r="A15" s="10"/>
      <c r="E15" s="169"/>
      <c r="F15" s="162"/>
      <c r="G15" s="162"/>
      <c r="H15" s="162"/>
    </row>
    <row r="16" spans="1:17" ht="13.35" customHeight="1">
      <c r="A16" s="170" t="s">
        <v>2284</v>
      </c>
      <c r="B16" s="171" t="s">
        <v>2281</v>
      </c>
      <c r="C16" s="171" t="s">
        <v>2282</v>
      </c>
      <c r="D16" s="3328" t="s">
        <v>2082</v>
      </c>
      <c r="E16" s="3328"/>
      <c r="F16" s="162"/>
      <c r="G16" s="162"/>
      <c r="H16" s="162"/>
    </row>
    <row r="17" spans="1:8" ht="12.6" customHeight="1">
      <c r="A17" s="60">
        <v>1</v>
      </c>
      <c r="B17" s="155">
        <f>IF(A17&gt;$C$9,0,SUM(C64:C75)*($C$6/$C$7))</f>
        <v>0</v>
      </c>
      <c r="C17" s="158">
        <f>IF(A17&gt;C9,0,(E63+K63)*$C$8)</f>
        <v>0</v>
      </c>
      <c r="D17" s="3323">
        <f t="shared" ref="D17:D56" si="0">IF(A17&gt;$C$9,0,$C$11+C17)</f>
        <v>0</v>
      </c>
      <c r="E17" s="3323"/>
      <c r="F17" s="162"/>
      <c r="G17" s="162"/>
      <c r="H17" s="162"/>
    </row>
    <row r="18" spans="1:8" ht="12.6" customHeight="1">
      <c r="A18" s="60">
        <v>2</v>
      </c>
      <c r="B18" s="155">
        <f>IF(A18&gt;C9,0,SUM(C76:C87)*($C$6/$C$7))</f>
        <v>0</v>
      </c>
      <c r="C18" s="158">
        <f>IF(A18&gt;C9,0,(E75+K75)*$C$8)</f>
        <v>0</v>
      </c>
      <c r="D18" s="3321">
        <f t="shared" si="0"/>
        <v>0</v>
      </c>
      <c r="E18" s="3321"/>
      <c r="F18" s="162"/>
      <c r="G18" s="162"/>
      <c r="H18" s="162"/>
    </row>
    <row r="19" spans="1:8" ht="12.6" customHeight="1">
      <c r="A19" s="60">
        <v>3</v>
      </c>
      <c r="B19" s="155">
        <f>IF(A19&gt;C9,0,SUM(C88:C99)*($C$6/$C$7))</f>
        <v>0</v>
      </c>
      <c r="C19" s="158">
        <f>IF(A19&gt;C9,0,(E87+K87)*$C$8)</f>
        <v>0</v>
      </c>
      <c r="D19" s="3321">
        <f t="shared" si="0"/>
        <v>0</v>
      </c>
      <c r="E19" s="3321"/>
      <c r="F19" s="162"/>
      <c r="G19" s="162"/>
      <c r="H19" s="162"/>
    </row>
    <row r="20" spans="1:8" ht="12.6" customHeight="1">
      <c r="A20" s="60">
        <v>4</v>
      </c>
      <c r="B20" s="155">
        <f>IF(A20&gt;C9,0,SUM(C100:C111)*($C$6/$C$7))</f>
        <v>0</v>
      </c>
      <c r="C20" s="158">
        <f>IF(A20&gt;C9,0,(E99+K99)*$C$8)</f>
        <v>0</v>
      </c>
      <c r="D20" s="3321">
        <f t="shared" si="0"/>
        <v>0</v>
      </c>
      <c r="E20" s="3321"/>
      <c r="F20" s="162"/>
      <c r="G20" s="162"/>
      <c r="H20" s="162"/>
    </row>
    <row r="21" spans="1:8" ht="12.6" customHeight="1">
      <c r="A21" s="60">
        <v>5</v>
      </c>
      <c r="B21" s="155">
        <f>IF(A21&gt;C9,0,SUM(C112:C123)*($C$6/$C$7))</f>
        <v>0</v>
      </c>
      <c r="C21" s="158">
        <f>IF(A21&gt;C9,0,(E111+K111)*$C$8)</f>
        <v>0</v>
      </c>
      <c r="D21" s="3322">
        <f t="shared" si="0"/>
        <v>0</v>
      </c>
      <c r="E21" s="3322"/>
      <c r="F21" s="162"/>
      <c r="G21" s="162"/>
      <c r="H21" s="162"/>
    </row>
    <row r="22" spans="1:8" ht="12.6" customHeight="1">
      <c r="A22" s="156">
        <v>6</v>
      </c>
      <c r="B22" s="157">
        <f>IF(A22&gt;C9,0,SUM(C124:C135)*($C$6/$C$7))</f>
        <v>0</v>
      </c>
      <c r="C22" s="173">
        <f>IF(A22&gt;C9,0,(E123+K123)*$C$8)</f>
        <v>0</v>
      </c>
      <c r="D22" s="3321">
        <f t="shared" si="0"/>
        <v>0</v>
      </c>
      <c r="E22" s="3321"/>
      <c r="F22" s="162"/>
      <c r="G22" s="162"/>
      <c r="H22" s="162"/>
    </row>
    <row r="23" spans="1:8" ht="12.6" customHeight="1">
      <c r="A23" s="60">
        <v>7</v>
      </c>
      <c r="B23" s="155">
        <f>IF(A23&gt;C9,0,SUM(C136:C147)*($C$6/$C$7))</f>
        <v>0</v>
      </c>
      <c r="C23" s="158">
        <f>IF(A23&gt;C9,0,(E135+K135)*$C$8)</f>
        <v>0</v>
      </c>
      <c r="D23" s="3321">
        <f t="shared" si="0"/>
        <v>0</v>
      </c>
      <c r="E23" s="3321"/>
      <c r="F23" s="162"/>
      <c r="G23" s="162"/>
      <c r="H23" s="162"/>
    </row>
    <row r="24" spans="1:8" ht="12.6" customHeight="1">
      <c r="A24" s="60">
        <v>8</v>
      </c>
      <c r="B24" s="155">
        <f>IF(A24&gt;C9,0,SUM(C148:C159)*($C$6/$C$7))</f>
        <v>0</v>
      </c>
      <c r="C24" s="158">
        <f>IF(A24&gt;C9,0,(E147+K147)*$C$8)</f>
        <v>0</v>
      </c>
      <c r="D24" s="3321">
        <f t="shared" si="0"/>
        <v>0</v>
      </c>
      <c r="E24" s="3321"/>
      <c r="F24" s="162"/>
      <c r="G24" s="162"/>
      <c r="H24" s="162"/>
    </row>
    <row r="25" spans="1:8" ht="12.6" customHeight="1">
      <c r="A25" s="60">
        <v>9</v>
      </c>
      <c r="B25" s="155">
        <f>IF(A25&gt;C9,0,SUM(C160:C171)*($C$6/$C$7))</f>
        <v>0</v>
      </c>
      <c r="C25" s="158">
        <f>IF(A25&gt;C9,0,(E159+K159)*$C$8)</f>
        <v>0</v>
      </c>
      <c r="D25" s="3321">
        <f t="shared" si="0"/>
        <v>0</v>
      </c>
      <c r="E25" s="3321"/>
      <c r="F25" s="162"/>
      <c r="G25" s="162"/>
      <c r="H25" s="162"/>
    </row>
    <row r="26" spans="1:8" ht="12.6" customHeight="1">
      <c r="A26" s="159">
        <v>10</v>
      </c>
      <c r="B26" s="160">
        <f>IF(A26&gt;C9,0,SUM(C172:C183)*($C$6/$C$7))</f>
        <v>0</v>
      </c>
      <c r="C26" s="172">
        <f>IF(A26&gt;C9,0,(E171+K171)*$C$8)</f>
        <v>0</v>
      </c>
      <c r="D26" s="3322">
        <f t="shared" si="0"/>
        <v>0</v>
      </c>
      <c r="E26" s="3322"/>
      <c r="F26" s="162"/>
      <c r="G26" s="162"/>
      <c r="H26" s="162"/>
    </row>
    <row r="27" spans="1:8" ht="12.6" customHeight="1">
      <c r="A27" s="60">
        <v>11</v>
      </c>
      <c r="B27" s="155">
        <f>IF(A27&gt;C9,0,SUM(C184:C195)*($C$6/$C$7))</f>
        <v>0</v>
      </c>
      <c r="C27" s="158">
        <f>IF(A27&gt;C9,0,(E183+K183)*$C$8)</f>
        <v>0</v>
      </c>
      <c r="D27" s="3321">
        <f t="shared" si="0"/>
        <v>0</v>
      </c>
      <c r="E27" s="3321"/>
      <c r="F27" s="162"/>
      <c r="G27" s="162"/>
      <c r="H27" s="162"/>
    </row>
    <row r="28" spans="1:8" ht="12.6" customHeight="1">
      <c r="A28" s="60">
        <v>12</v>
      </c>
      <c r="B28" s="155">
        <f>IF(A28&gt;C9,0,SUM(C196:C207)*($C$6/$C$7))</f>
        <v>0</v>
      </c>
      <c r="C28" s="158">
        <f>IF(A28&gt;C9,0,(E195+K195)*$C$8)</f>
        <v>0</v>
      </c>
      <c r="D28" s="3321">
        <f t="shared" si="0"/>
        <v>0</v>
      </c>
      <c r="E28" s="3321"/>
      <c r="F28" s="162"/>
      <c r="G28" s="162"/>
      <c r="H28" s="162"/>
    </row>
    <row r="29" spans="1:8" ht="12.6" customHeight="1">
      <c r="A29" s="60">
        <v>13</v>
      </c>
      <c r="B29" s="155">
        <f>IF(A29&gt;C9,0,SUM(C208:C219)*($C$6/$C$7))</f>
        <v>0</v>
      </c>
      <c r="C29" s="158">
        <f>IF(A29&gt;C9,0,(E207+K207)*$C$8)</f>
        <v>0</v>
      </c>
      <c r="D29" s="3321">
        <f t="shared" si="0"/>
        <v>0</v>
      </c>
      <c r="E29" s="3321"/>
      <c r="F29" s="162"/>
      <c r="G29" s="162"/>
      <c r="H29" s="162"/>
    </row>
    <row r="30" spans="1:8" ht="12.6" customHeight="1">
      <c r="A30" s="60">
        <v>14</v>
      </c>
      <c r="B30" s="155">
        <f>IF(A30&gt;C9,0,SUM(C220:C231)*($C$6/$C$7))</f>
        <v>0</v>
      </c>
      <c r="C30" s="158">
        <f>IF(A30&gt;C9,0,(E219+K219)*$C$8)</f>
        <v>0</v>
      </c>
      <c r="D30" s="3321">
        <f t="shared" si="0"/>
        <v>0</v>
      </c>
      <c r="E30" s="3321"/>
      <c r="F30" s="162"/>
      <c r="G30" s="162"/>
      <c r="H30" s="162"/>
    </row>
    <row r="31" spans="1:8" ht="12.6" customHeight="1">
      <c r="A31" s="60">
        <v>15</v>
      </c>
      <c r="B31" s="155">
        <f>IF(A31&gt;C9,0,SUM(C232:C243)*($C$6/$C$7))</f>
        <v>0</v>
      </c>
      <c r="C31" s="158">
        <f>IF(A31&gt;C9,0,(E231+K231)*$C$8)</f>
        <v>0</v>
      </c>
      <c r="D31" s="3322">
        <f t="shared" si="0"/>
        <v>0</v>
      </c>
      <c r="E31" s="3322"/>
      <c r="F31" s="162"/>
      <c r="G31" s="162"/>
      <c r="H31" s="162"/>
    </row>
    <row r="32" spans="1:8" ht="12.6" customHeight="1">
      <c r="A32" s="156">
        <v>16</v>
      </c>
      <c r="B32" s="157">
        <f>IF(A32&gt;C9,0,SUM(C244:C255)*($C$6/$C$7))</f>
        <v>0</v>
      </c>
      <c r="C32" s="173">
        <f>IF(A32&gt;C9,0,(E243+K243)*$C$8)</f>
        <v>0</v>
      </c>
      <c r="D32" s="3321">
        <f t="shared" si="0"/>
        <v>0</v>
      </c>
      <c r="E32" s="3321"/>
      <c r="F32" s="162"/>
      <c r="G32" s="162"/>
      <c r="H32" s="162"/>
    </row>
    <row r="33" spans="1:8" ht="12.6" customHeight="1">
      <c r="A33" s="60">
        <v>17</v>
      </c>
      <c r="B33" s="155">
        <f>IF(A33&gt;C9,0,SUM(C256:C267)*($C$6/$C$7))</f>
        <v>0</v>
      </c>
      <c r="C33" s="158">
        <f>IF(A33&gt;C9,0,(E255+K255)*$C$8)</f>
        <v>0</v>
      </c>
      <c r="D33" s="3321">
        <f t="shared" si="0"/>
        <v>0</v>
      </c>
      <c r="E33" s="3321"/>
      <c r="F33" s="162"/>
      <c r="G33" s="162"/>
      <c r="H33" s="162"/>
    </row>
    <row r="34" spans="1:8" ht="12.6" customHeight="1">
      <c r="A34" s="60">
        <v>18</v>
      </c>
      <c r="B34" s="155">
        <f>IF(A34&gt;C9,0,SUM(C268:C279)*($C$6/$C$7))</f>
        <v>0</v>
      </c>
      <c r="C34" s="158">
        <f>IF(A34&gt;C9,0,(E267+K267)*$C$8)</f>
        <v>0</v>
      </c>
      <c r="D34" s="3321">
        <f t="shared" si="0"/>
        <v>0</v>
      </c>
      <c r="E34" s="3321"/>
      <c r="F34" s="162"/>
      <c r="G34" s="162"/>
      <c r="H34" s="162"/>
    </row>
    <row r="35" spans="1:8" ht="12.6" customHeight="1">
      <c r="A35" s="60">
        <v>19</v>
      </c>
      <c r="B35" s="155">
        <f>IF(A35&gt;C9,0,SUM(C280:C291)*($C$6/$C$7))</f>
        <v>0</v>
      </c>
      <c r="C35" s="158">
        <f>IF(A35&gt;C9,0,(E279+K279)*$C$8)</f>
        <v>0</v>
      </c>
      <c r="D35" s="3321">
        <f t="shared" si="0"/>
        <v>0</v>
      </c>
      <c r="E35" s="3321"/>
      <c r="F35" s="162"/>
      <c r="G35" s="162"/>
      <c r="H35" s="162"/>
    </row>
    <row r="36" spans="1:8" ht="12.6" customHeight="1">
      <c r="A36" s="159">
        <v>20</v>
      </c>
      <c r="B36" s="160">
        <f>IF(A36&gt;C9,0,SUM(C292:C303)*($C$6/$C$7))</f>
        <v>0</v>
      </c>
      <c r="C36" s="172">
        <f>IF(A36&gt;C9,0,(E291+K291)*$C$8)</f>
        <v>0</v>
      </c>
      <c r="D36" s="3322">
        <f t="shared" si="0"/>
        <v>0</v>
      </c>
      <c r="E36" s="3322"/>
      <c r="F36" s="162"/>
      <c r="G36" s="162"/>
      <c r="H36" s="162"/>
    </row>
    <row r="37" spans="1:8" ht="12.6" customHeight="1">
      <c r="A37" s="60">
        <v>21</v>
      </c>
      <c r="B37" s="157">
        <f>IF(A37&gt;C9,0,SUM(C293:C304)*($C$6/$C$7))</f>
        <v>0</v>
      </c>
      <c r="C37" s="173">
        <f>IF(A37&gt;C9,0,(E303+K303)*$C$8)</f>
        <v>0</v>
      </c>
      <c r="D37" s="3324">
        <f t="shared" si="0"/>
        <v>0</v>
      </c>
      <c r="E37" s="3324"/>
      <c r="F37" s="162"/>
      <c r="G37" s="162"/>
      <c r="H37" s="162"/>
    </row>
    <row r="38" spans="1:8" ht="12.6" customHeight="1">
      <c r="A38" s="60">
        <v>22</v>
      </c>
      <c r="B38" s="155">
        <f>IF(A38&gt;C9,0,SUM(C294:C305)*($C$6/$C$7))</f>
        <v>0</v>
      </c>
      <c r="C38" s="158">
        <f>IF(A38&gt;C9,0,(E315+K315)*$C$8)</f>
        <v>0</v>
      </c>
      <c r="D38" s="3321">
        <f t="shared" si="0"/>
        <v>0</v>
      </c>
      <c r="E38" s="3321"/>
      <c r="F38" s="162"/>
      <c r="G38" s="162"/>
      <c r="H38" s="162"/>
    </row>
    <row r="39" spans="1:8" ht="12.6" customHeight="1">
      <c r="A39" s="60">
        <v>23</v>
      </c>
      <c r="B39" s="155">
        <f>IF(A39&gt;C9,0,SUM(C295:C306)*($C$6/$C$7))</f>
        <v>0</v>
      </c>
      <c r="C39" s="158">
        <f>IF(A39&gt;C9,0,(E327+K327)*$C$8)</f>
        <v>0</v>
      </c>
      <c r="D39" s="3321">
        <f t="shared" si="0"/>
        <v>0</v>
      </c>
      <c r="E39" s="3321"/>
      <c r="F39" s="162"/>
      <c r="G39" s="162"/>
      <c r="H39" s="162"/>
    </row>
    <row r="40" spans="1:8" ht="12.6" customHeight="1">
      <c r="A40" s="60">
        <v>24</v>
      </c>
      <c r="B40" s="155">
        <f>IF(A40&gt;C9,0,SUM(C296:C307)*($C$6/$C$7))</f>
        <v>0</v>
      </c>
      <c r="C40" s="158">
        <f>IF(A40&gt;C9,0,(E339+K339)*$C$8)</f>
        <v>0</v>
      </c>
      <c r="D40" s="3321">
        <f t="shared" si="0"/>
        <v>0</v>
      </c>
      <c r="E40" s="3321"/>
      <c r="F40" s="162"/>
      <c r="G40" s="162"/>
      <c r="H40" s="162"/>
    </row>
    <row r="41" spans="1:8" ht="12.6" customHeight="1">
      <c r="A41" s="60">
        <v>25</v>
      </c>
      <c r="B41" s="160">
        <f>IF(A41&gt;C9,0,SUM(C297:C308)*($C$6/$C$7))</f>
        <v>0</v>
      </c>
      <c r="C41" s="172">
        <f>IF(A41&gt;C9,0,(E351+K351)*$C$8)</f>
        <v>0</v>
      </c>
      <c r="D41" s="3322">
        <f t="shared" si="0"/>
        <v>0</v>
      </c>
      <c r="E41" s="3322"/>
      <c r="F41" s="162"/>
      <c r="G41" s="162"/>
      <c r="H41" s="162"/>
    </row>
    <row r="42" spans="1:8" ht="12.6" customHeight="1">
      <c r="A42" s="156">
        <v>26</v>
      </c>
      <c r="B42" s="157">
        <f>IF(A42&gt;C9,0,SUM(C298:C309)*($C$6/$C$7))</f>
        <v>0</v>
      </c>
      <c r="C42" s="173">
        <f>IF(A42&gt;C9,0,(E363+K363)*$C$8)</f>
        <v>0</v>
      </c>
      <c r="D42" s="3324">
        <f t="shared" si="0"/>
        <v>0</v>
      </c>
      <c r="E42" s="3324"/>
      <c r="F42" s="162"/>
      <c r="G42" s="162"/>
      <c r="H42" s="162"/>
    </row>
    <row r="43" spans="1:8" ht="12.6" customHeight="1">
      <c r="A43" s="60">
        <v>27</v>
      </c>
      <c r="B43" s="155">
        <f>IF(A43&gt;C9,0,SUM(C299:C310)*($C$6/$C$7))</f>
        <v>0</v>
      </c>
      <c r="C43" s="158">
        <f>IF(A43&gt;C9,0,(E375+K375)*$C$8)</f>
        <v>0</v>
      </c>
      <c r="D43" s="3321">
        <f t="shared" si="0"/>
        <v>0</v>
      </c>
      <c r="E43" s="3321"/>
      <c r="F43" s="162"/>
      <c r="G43" s="162"/>
      <c r="H43" s="162"/>
    </row>
    <row r="44" spans="1:8" ht="12.6" customHeight="1">
      <c r="A44" s="60">
        <v>28</v>
      </c>
      <c r="B44" s="155">
        <f>IF(A44&gt;C9,0,SUM(C300:C311)*($C$6/$C$7))</f>
        <v>0</v>
      </c>
      <c r="C44" s="158">
        <f>IF(A44&gt;C9,0,(E387+K387)*$C$8)</f>
        <v>0</v>
      </c>
      <c r="D44" s="3321">
        <f t="shared" si="0"/>
        <v>0</v>
      </c>
      <c r="E44" s="3321"/>
      <c r="F44" s="162"/>
      <c r="G44" s="162"/>
      <c r="H44" s="162"/>
    </row>
    <row r="45" spans="1:8" ht="12.6" customHeight="1">
      <c r="A45" s="60">
        <v>29</v>
      </c>
      <c r="B45" s="155">
        <f>IF(A45&gt;C9,0,SUM(C301:C312)*($C$6/$C$7))</f>
        <v>0</v>
      </c>
      <c r="C45" s="158">
        <f>IF(A45&gt;C9,0,(E411+K411)*$C$8)</f>
        <v>0</v>
      </c>
      <c r="D45" s="3321">
        <f t="shared" si="0"/>
        <v>0</v>
      </c>
      <c r="E45" s="3321"/>
      <c r="F45" s="162"/>
      <c r="G45" s="162"/>
      <c r="H45" s="162"/>
    </row>
    <row r="46" spans="1:8" ht="12.6" customHeight="1">
      <c r="A46" s="159">
        <v>30</v>
      </c>
      <c r="B46" s="160">
        <f>IF(A46&gt;C9,0,SUM(C302:C313)*($C$6/$C$7))</f>
        <v>0</v>
      </c>
      <c r="C46" s="172">
        <f>IF(A46&gt;C9,0,(E423+K423)*$C$8)</f>
        <v>0</v>
      </c>
      <c r="D46" s="3322">
        <f t="shared" si="0"/>
        <v>0</v>
      </c>
      <c r="E46" s="3322"/>
      <c r="F46" s="162"/>
      <c r="G46" s="162"/>
      <c r="H46" s="162"/>
    </row>
    <row r="47" spans="1:8" ht="12.6" customHeight="1">
      <c r="A47" s="156">
        <v>31</v>
      </c>
      <c r="B47" s="157">
        <f>IF(A47&gt;C9,0,SUM(C303:C314)*($C$6/$C$7))</f>
        <v>0</v>
      </c>
      <c r="C47" s="173">
        <f>IF(A47&gt;C9,0,(E435+K435)*$C$8)</f>
        <v>0</v>
      </c>
      <c r="D47" s="3324">
        <f t="shared" si="0"/>
        <v>0</v>
      </c>
      <c r="E47" s="3324"/>
      <c r="F47" s="162"/>
      <c r="G47" s="162"/>
      <c r="H47" s="162"/>
    </row>
    <row r="48" spans="1:8" ht="12.6" customHeight="1">
      <c r="A48" s="60">
        <v>32</v>
      </c>
      <c r="B48" s="155">
        <f>IF(A48&gt;C9,0,SUM(C304:C315)*($C$6/$C$7))</f>
        <v>0</v>
      </c>
      <c r="C48" s="158">
        <f>IF(A48&gt;C9,0,(E447+K447)*$C$8)</f>
        <v>0</v>
      </c>
      <c r="D48" s="3321">
        <f t="shared" si="0"/>
        <v>0</v>
      </c>
      <c r="E48" s="3321"/>
      <c r="F48" s="162"/>
      <c r="G48" s="162"/>
      <c r="H48" s="162"/>
    </row>
    <row r="49" spans="1:12" ht="12.6" customHeight="1">
      <c r="A49" s="60">
        <v>33</v>
      </c>
      <c r="B49" s="155">
        <f>IF(A49&gt;C9,0,SUM(C305:C316)*($C$6/$C$7))</f>
        <v>0</v>
      </c>
      <c r="C49" s="158">
        <f>IF(A49&gt;C9,0,(E459+K459)*$C$8)</f>
        <v>0</v>
      </c>
      <c r="D49" s="3321">
        <f t="shared" si="0"/>
        <v>0</v>
      </c>
      <c r="E49" s="3321"/>
      <c r="F49" s="162"/>
      <c r="G49" s="162"/>
      <c r="H49" s="162"/>
    </row>
    <row r="50" spans="1:12" ht="12.6" customHeight="1">
      <c r="A50" s="60">
        <v>34</v>
      </c>
      <c r="B50" s="155">
        <f>IF(A50&gt;C9,0,SUM(C306:C317)*($C$6/$C$7))</f>
        <v>0</v>
      </c>
      <c r="C50" s="158">
        <f>IF(A50&gt;C9,0,(E471+K471)*$C$8)</f>
        <v>0</v>
      </c>
      <c r="D50" s="3321">
        <f t="shared" si="0"/>
        <v>0</v>
      </c>
      <c r="E50" s="3321"/>
      <c r="F50" s="162"/>
      <c r="G50" s="162"/>
      <c r="H50" s="162"/>
    </row>
    <row r="51" spans="1:12" ht="12.6" customHeight="1">
      <c r="A51" s="159">
        <v>35</v>
      </c>
      <c r="B51" s="160">
        <f>IF(A51&gt;C9,0,SUM(C307:C318)*($C$6/$C$7))</f>
        <v>0</v>
      </c>
      <c r="C51" s="172">
        <f>IF(A51&gt;C9,0,(E483+K483)*$C$8)</f>
        <v>0</v>
      </c>
      <c r="D51" s="3322">
        <f t="shared" si="0"/>
        <v>0</v>
      </c>
      <c r="E51" s="3322"/>
      <c r="F51" s="162"/>
      <c r="G51" s="162"/>
      <c r="H51" s="162"/>
    </row>
    <row r="52" spans="1:12" ht="12.6" customHeight="1">
      <c r="A52" s="156">
        <v>36</v>
      </c>
      <c r="B52" s="157">
        <f>IF(A52&gt;C9,0,SUM(C308:C319)*($C$6/$C$7))</f>
        <v>0</v>
      </c>
      <c r="C52" s="173">
        <f>IF(A52&gt;C9,0,(E495+K495)*$C$8)</f>
        <v>0</v>
      </c>
      <c r="D52" s="3324">
        <f t="shared" si="0"/>
        <v>0</v>
      </c>
      <c r="E52" s="3324"/>
      <c r="F52" s="162"/>
      <c r="G52" s="162"/>
      <c r="H52" s="162"/>
    </row>
    <row r="53" spans="1:12" ht="12.6" customHeight="1">
      <c r="A53" s="60">
        <v>37</v>
      </c>
      <c r="B53" s="155">
        <f>IF(A53&gt;C9,0,SUM(C309:C320)*($C$6/$C$7))</f>
        <v>0</v>
      </c>
      <c r="C53" s="158">
        <f>IF(A53&gt;C9,0,(E507+K507)*$C$8)</f>
        <v>0</v>
      </c>
      <c r="D53" s="3321">
        <f t="shared" si="0"/>
        <v>0</v>
      </c>
      <c r="E53" s="3321"/>
      <c r="F53" s="162"/>
      <c r="G53" s="162"/>
      <c r="H53" s="162"/>
    </row>
    <row r="54" spans="1:12" ht="12.6" customHeight="1">
      <c r="A54" s="60">
        <v>38</v>
      </c>
      <c r="B54" s="155">
        <f>IF(A54&gt;C9,0,SUM(C310:C321)*($C$6/$C$7))</f>
        <v>0</v>
      </c>
      <c r="C54" s="158">
        <f>IF(A54&gt;C9,0,(E519+K519)*$C$8)</f>
        <v>0</v>
      </c>
      <c r="D54" s="3321">
        <f t="shared" si="0"/>
        <v>0</v>
      </c>
      <c r="E54" s="3321"/>
      <c r="F54" s="162"/>
      <c r="G54" s="162"/>
      <c r="H54" s="162"/>
    </row>
    <row r="55" spans="1:12" ht="12.6" customHeight="1">
      <c r="A55" s="60">
        <v>39</v>
      </c>
      <c r="B55" s="155">
        <f>IF(A55&gt;C9,0,SUM(C311:C322)*($C$6/$C$7))</f>
        <v>0</v>
      </c>
      <c r="C55" s="158">
        <f>IF(A55&gt;C9,0,(E531+K531)*$C$8)</f>
        <v>0</v>
      </c>
      <c r="D55" s="3321">
        <f t="shared" si="0"/>
        <v>0</v>
      </c>
      <c r="E55" s="3321"/>
      <c r="F55" s="162"/>
      <c r="G55" s="162"/>
      <c r="H55" s="162"/>
    </row>
    <row r="56" spans="1:12" ht="12.6" customHeight="1">
      <c r="A56" s="159">
        <v>40</v>
      </c>
      <c r="B56" s="160">
        <f>IF(A56&gt;C9,0,SUM(C312:C323)*($C$6/$C$7))</f>
        <v>0</v>
      </c>
      <c r="C56" s="172">
        <f>IF(A56&gt;C9,0,(E543+K543)*$C$8)</f>
        <v>0</v>
      </c>
      <c r="D56" s="3322">
        <f t="shared" si="0"/>
        <v>0</v>
      </c>
      <c r="E56" s="3322"/>
      <c r="F56" s="162"/>
      <c r="G56" s="162"/>
      <c r="H56" s="162"/>
    </row>
    <row r="57" spans="1:12" ht="3" customHeight="1">
      <c r="A57" s="162"/>
      <c r="B57" s="162"/>
      <c r="C57" s="162"/>
      <c r="D57" s="162"/>
      <c r="E57" s="162"/>
      <c r="F57" s="162"/>
      <c r="G57" s="162"/>
      <c r="H57" s="162"/>
    </row>
    <row r="58" spans="1:12" ht="13.35" customHeight="1">
      <c r="A58" s="3320" t="e">
        <f>CONCATENATE(#REF!," ",#REF!,", ",#REF!,", ",#REF!," County")</f>
        <v>#REF!</v>
      </c>
      <c r="B58" s="3320"/>
      <c r="C58" s="3320"/>
      <c r="D58" s="3320"/>
      <c r="E58" s="3320"/>
      <c r="F58" s="3320"/>
      <c r="G58" s="3320" t="e">
        <f>CONCATENATE(#REF!," ",#REF!,", ",#REF!,", ",#REF!," County")</f>
        <v>#REF!</v>
      </c>
      <c r="H58" s="3320"/>
      <c r="I58" s="3320"/>
      <c r="J58" s="3320"/>
      <c r="K58" s="3320"/>
      <c r="L58" s="3320"/>
    </row>
    <row r="59" spans="1:12" ht="15">
      <c r="A59" s="3318" t="s">
        <v>2275</v>
      </c>
      <c r="B59" s="3318"/>
      <c r="C59" s="3318"/>
      <c r="D59" s="3318"/>
      <c r="E59" s="3318"/>
      <c r="F59" s="3318"/>
      <c r="G59" s="3318" t="s">
        <v>2275</v>
      </c>
      <c r="H59" s="3318"/>
      <c r="I59" s="3318"/>
      <c r="J59" s="3318"/>
      <c r="K59" s="3318"/>
      <c r="L59" s="3318"/>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5" t="e">
        <f>CONCATENATE("PART III C  - HUD INSURED LOAN","  -  ",#REF!," ",#REF!,", ",#REF!,", ",#REF!," County")</f>
        <v>#REF!</v>
      </c>
      <c r="B1" s="3326"/>
      <c r="C1" s="3326"/>
      <c r="D1" s="3326"/>
      <c r="E1" s="3326"/>
      <c r="F1" s="3327"/>
      <c r="G1" s="139"/>
      <c r="H1" s="139"/>
      <c r="I1" s="139"/>
      <c r="J1" s="139"/>
      <c r="K1" s="139"/>
      <c r="L1" s="139"/>
      <c r="M1" s="139"/>
      <c r="N1" s="139"/>
      <c r="O1" s="139"/>
      <c r="P1" s="139"/>
      <c r="Q1" s="139"/>
    </row>
    <row r="2" spans="1:17">
      <c r="A2" s="10"/>
    </row>
    <row r="3" spans="1:17" ht="15.6" customHeight="1">
      <c r="A3" s="3318" t="s">
        <v>210</v>
      </c>
      <c r="B3" s="3318"/>
      <c r="C3" s="3318"/>
      <c r="D3" s="3318"/>
      <c r="E3" s="3318"/>
      <c r="F3" s="3318"/>
      <c r="G3" s="189"/>
      <c r="H3" s="189"/>
    </row>
    <row r="4" spans="1:17">
      <c r="A4" s="10"/>
    </row>
    <row r="5" spans="1:17" ht="13.35" customHeight="1">
      <c r="A5" t="s">
        <v>2083</v>
      </c>
      <c r="D5" s="183"/>
      <c r="E5" s="3329" t="s">
        <v>895</v>
      </c>
      <c r="F5" s="3330"/>
      <c r="G5" s="126"/>
    </row>
    <row r="6" spans="1:17">
      <c r="E6" s="3330"/>
      <c r="F6" s="3330"/>
      <c r="G6" s="126"/>
    </row>
    <row r="7" spans="1:17">
      <c r="A7" t="s">
        <v>2267</v>
      </c>
      <c r="C7" t="s">
        <v>2268</v>
      </c>
      <c r="D7" s="184"/>
      <c r="E7" s="3330"/>
      <c r="F7" s="3330"/>
      <c r="G7" s="126"/>
    </row>
    <row r="8" spans="1:17">
      <c r="C8" t="s">
        <v>2269</v>
      </c>
      <c r="D8" s="184"/>
      <c r="E8" s="3330"/>
      <c r="F8" s="3330"/>
      <c r="G8" s="126"/>
    </row>
    <row r="9" spans="1:17">
      <c r="C9" t="s">
        <v>2270</v>
      </c>
      <c r="D9" s="184"/>
      <c r="E9" s="3330"/>
      <c r="F9" s="3330"/>
      <c r="G9" s="126"/>
    </row>
    <row r="10" spans="1:17">
      <c r="C10" t="s">
        <v>2283</v>
      </c>
      <c r="D10" s="190">
        <f>D7+D8+D9</f>
        <v>0</v>
      </c>
      <c r="E10" s="3330"/>
      <c r="F10" s="3330"/>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9" t="s">
        <v>1596</v>
      </c>
      <c r="B24" s="3319"/>
      <c r="C24" s="3319"/>
      <c r="D24" s="3319"/>
      <c r="E24" s="3319"/>
      <c r="F24" s="3319"/>
      <c r="J24" s="192"/>
    </row>
    <row r="25" spans="1:10">
      <c r="C25" s="161"/>
      <c r="J25" s="192"/>
    </row>
    <row r="26" spans="1:10">
      <c r="A26" s="82"/>
      <c r="B26" s="60"/>
      <c r="C26" s="3331" t="s">
        <v>2082</v>
      </c>
      <c r="D26" s="188"/>
      <c r="E26" s="60"/>
      <c r="F26" s="3331" t="s">
        <v>2082</v>
      </c>
      <c r="J26" s="192"/>
    </row>
    <row r="27" spans="1:10">
      <c r="A27" s="193" t="s">
        <v>2284</v>
      </c>
      <c r="B27" s="24" t="s">
        <v>962</v>
      </c>
      <c r="C27" s="3332"/>
      <c r="D27" s="194" t="s">
        <v>2284</v>
      </c>
      <c r="E27" s="24" t="s">
        <v>962</v>
      </c>
      <c r="F27" s="3332"/>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0" t="e">
        <f>CONCATENATE(#REF!," ",#REF!,", ",#REF!,", ",#REF!," County")</f>
        <v>#REF!</v>
      </c>
      <c r="B50" s="3320"/>
      <c r="C50" s="3320"/>
      <c r="D50" s="3320"/>
      <c r="E50" s="3320"/>
      <c r="F50" s="3320"/>
      <c r="G50" s="41"/>
      <c r="H50" s="41"/>
    </row>
    <row r="51" spans="1:10" ht="15">
      <c r="A51" s="3318" t="s">
        <v>2275</v>
      </c>
      <c r="B51" s="3318"/>
      <c r="C51" s="3318"/>
      <c r="D51" s="3318"/>
      <c r="E51" s="3318"/>
      <c r="F51" s="3318"/>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1" zoomScaleNormal="100" workbookViewId="0">
      <selection activeCell="J128" sqref="J128"/>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5" t="str">
        <f>CONCATENATE("PART THREE (A):  USES OF FUNDS","  -  ",'Part I-Project Identification'!$O$7," ",'Part I-Project Identification'!$F$25,", ",'Part I-Project Identification'!F26,", ",'Part I-Project Identification'!J26," County")</f>
        <v>PART THREE (A):  USES OF FUNDS  -  2023-0 Windsor Crossing, Nashville, Berrien County</v>
      </c>
      <c r="B2" s="3376"/>
      <c r="C2" s="3376"/>
      <c r="D2" s="3376"/>
      <c r="E2" s="3376"/>
      <c r="F2" s="3376"/>
      <c r="G2" s="3376"/>
      <c r="H2" s="3376"/>
      <c r="I2" s="3376"/>
      <c r="J2" s="3376"/>
      <c r="K2" s="3376"/>
      <c r="L2" s="3376"/>
      <c r="M2" s="3376"/>
      <c r="N2" s="3376"/>
      <c r="O2" s="3376"/>
      <c r="P2" s="3376"/>
      <c r="Q2" s="3376"/>
      <c r="R2" s="3376"/>
      <c r="S2" s="3376"/>
      <c r="T2" s="3376"/>
      <c r="W2" s="3377" t="str">
        <f>A2</f>
        <v>PART THREE (A):  USES OF FUNDS  -  2023-0 Windsor Crossing, Nashville, Berrien County</v>
      </c>
      <c r="X2" s="3377"/>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70" t="str">
        <f>'Part I-Project Identification'!$A$6</f>
        <v>April 2023</v>
      </c>
      <c r="E6" s="3470"/>
      <c r="F6" s="3470"/>
      <c r="G6" s="3470"/>
      <c r="H6" s="3470"/>
      <c r="I6" s="376"/>
      <c r="J6" s="3360" t="s">
        <v>259</v>
      </c>
      <c r="K6" s="3361"/>
      <c r="L6" s="280"/>
      <c r="M6" s="3366" t="s">
        <v>460</v>
      </c>
      <c r="N6" s="3367"/>
      <c r="P6" s="3360" t="s">
        <v>260</v>
      </c>
      <c r="Q6" s="3361"/>
      <c r="S6" s="3360" t="s">
        <v>261</v>
      </c>
      <c r="T6" s="3361"/>
      <c r="V6" s="344" t="str">
        <f>B6</f>
        <v>DEVELOPMENT BUDGET</v>
      </c>
      <c r="AZ6" s="1968"/>
      <c r="BA6" s="1706">
        <v>6</v>
      </c>
    </row>
    <row r="7" spans="1:53" s="144" customFormat="1" ht="19.5" customHeight="1" thickBot="1">
      <c r="D7" s="1227"/>
      <c r="E7" s="1227"/>
      <c r="F7" s="1227"/>
      <c r="G7" s="3346" t="s">
        <v>95</v>
      </c>
      <c r="H7" s="3347"/>
      <c r="J7" s="3362"/>
      <c r="K7" s="3363"/>
      <c r="L7" s="280"/>
      <c r="M7" s="3368"/>
      <c r="N7" s="3369"/>
      <c r="P7" s="3362"/>
      <c r="Q7" s="3363"/>
      <c r="S7" s="3362"/>
      <c r="T7" s="3363"/>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2">
        <v>15000</v>
      </c>
      <c r="H9" s="3233"/>
      <c r="J9" s="3232">
        <v>15000</v>
      </c>
      <c r="K9" s="3233"/>
      <c r="L9" s="828"/>
      <c r="M9" s="3232"/>
      <c r="N9" s="3233"/>
      <c r="P9" s="3232"/>
      <c r="Q9" s="3233"/>
      <c r="S9" s="3232"/>
      <c r="T9" s="3233"/>
      <c r="V9" s="849"/>
      <c r="W9" s="3344"/>
      <c r="X9" s="3345"/>
      <c r="AZ9" s="1968"/>
      <c r="BA9" s="1706">
        <v>9</v>
      </c>
    </row>
    <row r="10" spans="1:53" s="144" customFormat="1" ht="11.25" customHeight="1">
      <c r="B10" s="144" t="s">
        <v>431</v>
      </c>
      <c r="G10" s="3243">
        <v>9000</v>
      </c>
      <c r="H10" s="3244"/>
      <c r="J10" s="3243">
        <v>9000</v>
      </c>
      <c r="K10" s="3244"/>
      <c r="L10" s="828"/>
      <c r="M10" s="3243"/>
      <c r="N10" s="3244"/>
      <c r="P10" s="3243"/>
      <c r="Q10" s="3244"/>
      <c r="S10" s="3243"/>
      <c r="T10" s="3244"/>
      <c r="V10" s="849"/>
      <c r="W10" s="3344"/>
      <c r="X10" s="3345"/>
      <c r="AZ10" s="1968"/>
      <c r="BA10" s="1706">
        <v>10</v>
      </c>
    </row>
    <row r="11" spans="1:53" s="144" customFormat="1" ht="11.25" customHeight="1">
      <c r="B11" s="144" t="s">
        <v>458</v>
      </c>
      <c r="G11" s="3243">
        <v>15000</v>
      </c>
      <c r="H11" s="3244"/>
      <c r="J11" s="3243">
        <v>15000</v>
      </c>
      <c r="K11" s="3244"/>
      <c r="L11" s="828"/>
      <c r="M11" s="3243"/>
      <c r="N11" s="3244"/>
      <c r="P11" s="3243"/>
      <c r="Q11" s="3244"/>
      <c r="S11" s="3243"/>
      <c r="T11" s="3244"/>
      <c r="V11" s="849"/>
      <c r="W11" s="3344"/>
      <c r="X11" s="3345"/>
      <c r="AZ11" s="1968"/>
      <c r="BA11" s="1706">
        <v>11</v>
      </c>
    </row>
    <row r="12" spans="1:53" s="144" customFormat="1" ht="11.25" customHeight="1">
      <c r="B12" s="144" t="s">
        <v>459</v>
      </c>
      <c r="G12" s="3243">
        <v>12500</v>
      </c>
      <c r="H12" s="3244"/>
      <c r="J12" s="3243">
        <v>12500</v>
      </c>
      <c r="K12" s="3244"/>
      <c r="L12" s="828"/>
      <c r="M12" s="3243"/>
      <c r="N12" s="3244"/>
      <c r="P12" s="3243"/>
      <c r="Q12" s="3244"/>
      <c r="S12" s="3243"/>
      <c r="T12" s="3244"/>
      <c r="V12" s="849"/>
      <c r="W12" s="3344"/>
      <c r="X12" s="3345"/>
      <c r="AZ12" s="1968"/>
      <c r="BA12" s="1706">
        <v>12</v>
      </c>
    </row>
    <row r="13" spans="1:53" s="144" customFormat="1" ht="11.25" customHeight="1">
      <c r="B13" s="144" t="s">
        <v>2301</v>
      </c>
      <c r="G13" s="3243">
        <v>25000</v>
      </c>
      <c r="H13" s="3244"/>
      <c r="J13" s="3243">
        <v>25000</v>
      </c>
      <c r="K13" s="3244"/>
      <c r="L13" s="828"/>
      <c r="M13" s="3243"/>
      <c r="N13" s="3244"/>
      <c r="P13" s="3243"/>
      <c r="Q13" s="3244"/>
      <c r="S13" s="3243"/>
      <c r="T13" s="3244"/>
      <c r="V13" s="849"/>
      <c r="W13" s="3344"/>
      <c r="X13" s="3345"/>
      <c r="AZ13" s="1968"/>
      <c r="BA13" s="1706">
        <v>13</v>
      </c>
    </row>
    <row r="14" spans="1:53" s="144" customFormat="1" ht="11.25" customHeight="1">
      <c r="B14" s="144" t="s">
        <v>183</v>
      </c>
      <c r="G14" s="3243"/>
      <c r="H14" s="3244"/>
      <c r="J14" s="3243"/>
      <c r="K14" s="3244"/>
      <c r="L14" s="828"/>
      <c r="M14" s="3243"/>
      <c r="N14" s="3244"/>
      <c r="P14" s="3243"/>
      <c r="Q14" s="3244"/>
      <c r="S14" s="3243"/>
      <c r="T14" s="3244"/>
      <c r="V14" s="849"/>
      <c r="W14" s="3344"/>
      <c r="X14" s="3345"/>
      <c r="AZ14" s="1968"/>
      <c r="BA14" s="1706">
        <v>14</v>
      </c>
    </row>
    <row r="15" spans="1:53" s="144" customFormat="1" ht="11.25" customHeight="1">
      <c r="A15" s="303" t="str">
        <f>IF(AND(G15&gt;0,OR(C15="",C15="&lt;Enter detailed description here; use Comments section if needed&gt;")),"X","")</f>
        <v/>
      </c>
      <c r="B15" s="147" t="s">
        <v>6271</v>
      </c>
      <c r="C15" s="3379" t="s">
        <v>7122</v>
      </c>
      <c r="D15" s="3379"/>
      <c r="E15" s="3379"/>
      <c r="F15" s="3380"/>
      <c r="G15" s="3243">
        <v>30000</v>
      </c>
      <c r="H15" s="3244"/>
      <c r="J15" s="3243"/>
      <c r="K15" s="3244"/>
      <c r="L15" s="828"/>
      <c r="M15" s="3243"/>
      <c r="N15" s="3244"/>
      <c r="P15" s="3243"/>
      <c r="Q15" s="3244"/>
      <c r="S15" s="3243">
        <v>30000</v>
      </c>
      <c r="T15" s="3244"/>
      <c r="U15" s="302" t="str">
        <f>IF(AND(G15&gt;0,OR(C15="",C15="&lt;Enter detailed description here; use Comments section if needed&gt;")),"NO DESCRIPTION PROVIDED - please enter detailed description in Other box at left; use Comments section below if needed.","")</f>
        <v/>
      </c>
      <c r="V15" s="850"/>
      <c r="W15" s="3344"/>
      <c r="X15" s="3345"/>
      <c r="AZ15" s="1968" t="s">
        <v>6365</v>
      </c>
      <c r="BA15" s="1706">
        <v>15</v>
      </c>
    </row>
    <row r="16" spans="1:53" s="144" customFormat="1" ht="11.25" customHeight="1">
      <c r="A16" s="303" t="str">
        <f>IF(AND(G16&gt;0,OR(C16="",C16="&lt;Enter detailed description here; use Comments section if needed&gt;")),"X","")</f>
        <v/>
      </c>
      <c r="B16" s="147" t="s">
        <v>6272</v>
      </c>
      <c r="C16" s="3379" t="s">
        <v>6721</v>
      </c>
      <c r="D16" s="3379"/>
      <c r="E16" s="3379"/>
      <c r="F16" s="3380"/>
      <c r="G16" s="3243"/>
      <c r="H16" s="3244"/>
      <c r="J16" s="3243"/>
      <c r="K16" s="3244"/>
      <c r="L16" s="828"/>
      <c r="M16" s="3243"/>
      <c r="N16" s="3244"/>
      <c r="P16" s="3243"/>
      <c r="Q16" s="3244"/>
      <c r="S16" s="3243"/>
      <c r="T16" s="3244"/>
      <c r="U16" s="302" t="str">
        <f>IF(AND(G16&gt;0,OR(C16="",C16="&lt;Enter detailed description here; use Comments section if needed&gt;")),"NO DESCRIPTION PROVIDED - please enter detailed description in Other box at left; use Comments section below if needed.","")</f>
        <v/>
      </c>
      <c r="V16" s="850"/>
      <c r="W16" s="3344"/>
      <c r="X16" s="3345"/>
      <c r="AZ16" s="1968" t="s">
        <v>6366</v>
      </c>
      <c r="BA16" s="1706">
        <v>16</v>
      </c>
    </row>
    <row r="17" spans="1:53" s="144" customFormat="1" ht="11.25" customHeight="1" thickBot="1">
      <c r="A17" s="303" t="str">
        <f>IF(AND(G17&gt;0,OR(C17="",C17="&lt;Enter detailed description here; use Comments section if needed&gt;")),"X","")</f>
        <v/>
      </c>
      <c r="B17" s="147" t="s">
        <v>6273</v>
      </c>
      <c r="C17" s="3379" t="s">
        <v>6721</v>
      </c>
      <c r="D17" s="3379"/>
      <c r="E17" s="3379"/>
      <c r="F17" s="3380"/>
      <c r="G17" s="3342"/>
      <c r="H17" s="3343"/>
      <c r="J17" s="3342"/>
      <c r="K17" s="3343"/>
      <c r="L17" s="828"/>
      <c r="M17" s="3342"/>
      <c r="N17" s="3343"/>
      <c r="P17" s="3342"/>
      <c r="Q17" s="3343"/>
      <c r="S17" s="3342"/>
      <c r="T17" s="3343"/>
      <c r="U17" s="302" t="str">
        <f>IF(AND(G17&gt;0,OR(C17="",C17="&lt;Enter detailed description here; use Comments section if needed&gt;")),"NO DESCRIPTION PROVIDED - please enter detailed description in Other box at left; use Comments section below if needed.","")</f>
        <v/>
      </c>
      <c r="V17" s="850"/>
      <c r="W17" s="3351"/>
      <c r="X17" s="3352"/>
      <c r="AZ17" s="1968" t="s">
        <v>6367</v>
      </c>
      <c r="BA17" s="1706">
        <v>17</v>
      </c>
    </row>
    <row r="18" spans="1:53" s="144" customFormat="1" ht="12.6" customHeight="1" thickTop="1">
      <c r="F18" s="281" t="s">
        <v>184</v>
      </c>
      <c r="G18" s="3340">
        <f>SUM(G9:G17)</f>
        <v>106500</v>
      </c>
      <c r="H18" s="3341"/>
      <c r="J18" s="3340">
        <f>SUM(J9:J17)</f>
        <v>76500</v>
      </c>
      <c r="K18" s="3341"/>
      <c r="L18" s="828"/>
      <c r="M18" s="3340">
        <f>SUM(M9:M17)</f>
        <v>0</v>
      </c>
      <c r="N18" s="3341"/>
      <c r="P18" s="3340">
        <f>SUM(P9:P17)</f>
        <v>0</v>
      </c>
      <c r="Q18" s="3341"/>
      <c r="S18" s="3340">
        <f>SUM(S9:S17)</f>
        <v>30000</v>
      </c>
      <c r="T18" s="3341"/>
      <c r="V18" s="851">
        <f>SUM(V9:V17)</f>
        <v>0</v>
      </c>
      <c r="W18" s="3353"/>
      <c r="X18" s="3354"/>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15500</v>
      </c>
      <c r="G20" s="3232">
        <v>558000</v>
      </c>
      <c r="H20" s="3233"/>
      <c r="J20" s="283"/>
      <c r="K20" s="280"/>
      <c r="L20" s="283"/>
      <c r="M20" s="283"/>
      <c r="N20" s="280"/>
      <c r="P20" s="283"/>
      <c r="Q20" s="280"/>
      <c r="S20" s="3232">
        <v>558000</v>
      </c>
      <c r="T20" s="3233"/>
      <c r="V20" s="849"/>
      <c r="W20" s="3344"/>
      <c r="X20" s="3345"/>
      <c r="AZ20" s="1968"/>
      <c r="BA20" s="1706">
        <v>20</v>
      </c>
    </row>
    <row r="21" spans="1:53" s="144" customFormat="1" ht="11.25" customHeight="1">
      <c r="B21" s="144" t="s">
        <v>1054</v>
      </c>
      <c r="G21" s="3243"/>
      <c r="H21" s="3244"/>
      <c r="J21" s="283"/>
      <c r="K21" s="280"/>
      <c r="L21" s="283"/>
      <c r="M21" s="283"/>
      <c r="N21" s="280"/>
      <c r="P21" s="283"/>
      <c r="Q21" s="280"/>
      <c r="S21" s="3243"/>
      <c r="T21" s="3244"/>
      <c r="V21" s="849"/>
      <c r="W21" s="3344"/>
      <c r="X21" s="3345"/>
      <c r="AZ21" s="1968"/>
      <c r="BA21" s="1706">
        <v>21</v>
      </c>
    </row>
    <row r="22" spans="1:53" s="144" customFormat="1" ht="11.25" customHeight="1">
      <c r="B22" s="144" t="s">
        <v>432</v>
      </c>
      <c r="G22" s="3243"/>
      <c r="H22" s="3244"/>
      <c r="J22" s="283"/>
      <c r="K22" s="280"/>
      <c r="L22" s="283"/>
      <c r="M22" s="3232"/>
      <c r="N22" s="3233"/>
      <c r="P22" s="283"/>
      <c r="Q22" s="280"/>
      <c r="S22" s="3243"/>
      <c r="T22" s="3244"/>
      <c r="V22" s="849"/>
      <c r="W22" s="3344"/>
      <c r="X22" s="3345"/>
      <c r="AZ22" s="1968"/>
      <c r="BA22" s="1706">
        <v>22</v>
      </c>
    </row>
    <row r="23" spans="1:53" s="144" customFormat="1" ht="11.25" customHeight="1" thickBot="1">
      <c r="B23" s="144" t="s">
        <v>405</v>
      </c>
      <c r="G23" s="3342"/>
      <c r="H23" s="3343"/>
      <c r="J23" s="283"/>
      <c r="K23" s="280"/>
      <c r="L23" s="283"/>
      <c r="M23" s="3342"/>
      <c r="N23" s="3343"/>
      <c r="P23" s="283"/>
      <c r="Q23" s="280"/>
      <c r="S23" s="3342"/>
      <c r="T23" s="3343"/>
      <c r="V23" s="849"/>
      <c r="W23" s="3351"/>
      <c r="X23" s="3352"/>
      <c r="AZ23" s="1968"/>
      <c r="BA23" s="1706">
        <v>23</v>
      </c>
    </row>
    <row r="24" spans="1:53" s="144" customFormat="1" ht="12.6" customHeight="1" thickTop="1">
      <c r="F24" s="281" t="s">
        <v>184</v>
      </c>
      <c r="G24" s="3340">
        <f>SUM(G20:G23)</f>
        <v>558000</v>
      </c>
      <c r="H24" s="3341"/>
      <c r="J24" s="283"/>
      <c r="K24" s="280"/>
      <c r="L24" s="283"/>
      <c r="M24" s="3340">
        <f>SUM(M22:M23)</f>
        <v>0</v>
      </c>
      <c r="N24" s="3341"/>
      <c r="P24" s="283"/>
      <c r="Q24" s="280"/>
      <c r="S24" s="3340">
        <f>SUM(S20:S23)</f>
        <v>558000</v>
      </c>
      <c r="T24" s="3341"/>
      <c r="V24" s="851">
        <f>SUM(V20:V23)</f>
        <v>0</v>
      </c>
      <c r="W24" s="3353"/>
      <c r="X24" s="3354"/>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53954.444444444445</v>
      </c>
      <c r="G26" s="3232">
        <f>1971360-29000</f>
        <v>1942360</v>
      </c>
      <c r="H26" s="3233"/>
      <c r="J26" s="3232">
        <f>1836651-29000</f>
        <v>1807651</v>
      </c>
      <c r="K26" s="3233"/>
      <c r="L26" s="828"/>
      <c r="M26" s="3381"/>
      <c r="N26" s="3382"/>
      <c r="P26" s="3381"/>
      <c r="Q26" s="3382"/>
      <c r="S26" s="3232">
        <v>134709</v>
      </c>
      <c r="T26" s="3233"/>
      <c r="V26" s="849"/>
      <c r="W26" s="3344"/>
      <c r="X26" s="3345"/>
      <c r="AZ26" s="1968"/>
      <c r="BA26" s="1706">
        <v>26</v>
      </c>
    </row>
    <row r="27" spans="1:53" s="144" customFormat="1" ht="11.25" customHeight="1" thickBot="1">
      <c r="B27" s="144" t="s">
        <v>1057</v>
      </c>
      <c r="G27" s="3342">
        <f>25000+29000</f>
        <v>54000</v>
      </c>
      <c r="H27" s="3343"/>
      <c r="J27" s="3342"/>
      <c r="K27" s="3343"/>
      <c r="L27" s="284"/>
      <c r="M27" s="3383"/>
      <c r="N27" s="3383"/>
      <c r="P27" s="3383"/>
      <c r="Q27" s="3383"/>
      <c r="S27" s="3342">
        <f>25000+29000</f>
        <v>54000</v>
      </c>
      <c r="T27" s="3343"/>
      <c r="V27" s="849"/>
      <c r="W27" s="3351"/>
      <c r="X27" s="3352"/>
      <c r="AZ27" s="1968"/>
      <c r="BA27" s="1706">
        <v>27</v>
      </c>
    </row>
    <row r="28" spans="1:53" s="144" customFormat="1" ht="12.6" customHeight="1" thickTop="1">
      <c r="F28" s="281" t="s">
        <v>184</v>
      </c>
      <c r="G28" s="3340">
        <f>SUM(G26:G27)</f>
        <v>1996360</v>
      </c>
      <c r="H28" s="3341"/>
      <c r="J28" s="3340">
        <f>SUM(J26:J27)</f>
        <v>1807651</v>
      </c>
      <c r="K28" s="3341"/>
      <c r="L28" s="283"/>
      <c r="M28" s="3340">
        <f>M26</f>
        <v>0</v>
      </c>
      <c r="N28" s="3341"/>
      <c r="P28" s="3340">
        <f>P26</f>
        <v>0</v>
      </c>
      <c r="Q28" s="3341"/>
      <c r="S28" s="3340">
        <f>SUM(S26:S27)</f>
        <v>188709</v>
      </c>
      <c r="T28" s="3341"/>
      <c r="V28" s="851">
        <f>SUM(V26:V27)</f>
        <v>0</v>
      </c>
      <c r="W28" s="3353"/>
      <c r="X28" s="3354"/>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2">
        <v>6903638</v>
      </c>
      <c r="H30" s="3233"/>
      <c r="J30" s="3232">
        <v>6903638</v>
      </c>
      <c r="K30" s="3233"/>
      <c r="L30" s="828"/>
      <c r="M30" s="3232"/>
      <c r="N30" s="3233"/>
      <c r="P30" s="3232"/>
      <c r="Q30" s="3233"/>
      <c r="S30" s="3232"/>
      <c r="T30" s="3233"/>
      <c r="V30" s="849"/>
      <c r="W30" s="3344"/>
      <c r="X30" s="3345"/>
      <c r="AZ30" s="1968"/>
      <c r="BA30" s="1706">
        <v>30</v>
      </c>
    </row>
    <row r="31" spans="1:53" s="144" customFormat="1" ht="11.25" customHeight="1">
      <c r="B31" s="144" t="s">
        <v>1060</v>
      </c>
      <c r="G31" s="3243"/>
      <c r="H31" s="3244"/>
      <c r="J31" s="3243"/>
      <c r="K31" s="3244"/>
      <c r="L31" s="828"/>
      <c r="M31" s="3243"/>
      <c r="N31" s="3244"/>
      <c r="P31" s="3243"/>
      <c r="Q31" s="3244"/>
      <c r="S31" s="3243"/>
      <c r="T31" s="3244"/>
      <c r="V31" s="849"/>
      <c r="W31" s="3344"/>
      <c r="X31" s="3345"/>
      <c r="AZ31" s="1968"/>
      <c r="BA31" s="1706">
        <v>31</v>
      </c>
    </row>
    <row r="32" spans="1:53" s="144" customFormat="1" ht="11.25" customHeight="1">
      <c r="B32" s="144" t="s">
        <v>6088</v>
      </c>
      <c r="G32" s="3243">
        <v>343000</v>
      </c>
      <c r="H32" s="3244"/>
      <c r="J32" s="3243">
        <v>343000</v>
      </c>
      <c r="K32" s="3244"/>
      <c r="L32" s="828"/>
      <c r="M32" s="3243"/>
      <c r="N32" s="3244"/>
      <c r="P32" s="3243"/>
      <c r="Q32" s="3244"/>
      <c r="S32" s="3243"/>
      <c r="T32" s="3244"/>
      <c r="V32" s="849"/>
      <c r="W32" s="3344"/>
      <c r="X32" s="3345"/>
      <c r="AZ32" s="1968"/>
      <c r="BA32" s="1706">
        <v>32</v>
      </c>
    </row>
    <row r="33" spans="1:53" s="144" customFormat="1" ht="11.25" customHeight="1">
      <c r="B33" s="144" t="s">
        <v>6086</v>
      </c>
      <c r="G33" s="3243"/>
      <c r="H33" s="3244"/>
      <c r="J33" s="3243"/>
      <c r="K33" s="3244"/>
      <c r="L33" s="828"/>
      <c r="M33" s="3243"/>
      <c r="N33" s="3244"/>
      <c r="P33" s="3243"/>
      <c r="Q33" s="3244"/>
      <c r="S33" s="3243"/>
      <c r="T33" s="3244"/>
      <c r="V33" s="849"/>
      <c r="W33" s="3344"/>
      <c r="X33" s="3345"/>
      <c r="AZ33" s="1968"/>
      <c r="BA33" s="1706">
        <v>33</v>
      </c>
    </row>
    <row r="34" spans="1:53" ht="11.25" customHeight="1">
      <c r="B34" s="144" t="s">
        <v>2494</v>
      </c>
      <c r="G34" s="3243"/>
      <c r="H34" s="3244"/>
      <c r="I34" s="144"/>
      <c r="J34" s="3243"/>
      <c r="K34" s="3244"/>
      <c r="L34" s="828"/>
      <c r="M34" s="3243"/>
      <c r="N34" s="3244"/>
      <c r="O34" s="144"/>
      <c r="P34" s="3243"/>
      <c r="Q34" s="3244"/>
      <c r="R34" s="144"/>
      <c r="S34" s="3243"/>
      <c r="T34" s="3244"/>
      <c r="V34" s="849"/>
      <c r="W34" s="3351"/>
      <c r="X34" s="3352"/>
      <c r="BA34" s="1706">
        <v>34</v>
      </c>
    </row>
    <row r="35" spans="1:53" ht="11.25" customHeight="1" thickBot="1">
      <c r="B35" s="144" t="s">
        <v>6087</v>
      </c>
      <c r="G35" s="3384"/>
      <c r="H35" s="3385"/>
      <c r="I35" s="144"/>
      <c r="J35" s="3384"/>
      <c r="K35" s="3385"/>
      <c r="L35" s="828"/>
      <c r="M35" s="3384"/>
      <c r="N35" s="3385"/>
      <c r="O35" s="144"/>
      <c r="P35" s="3384"/>
      <c r="Q35" s="3385"/>
      <c r="R35" s="144"/>
      <c r="S35" s="3384"/>
      <c r="T35" s="3385"/>
      <c r="V35" s="849"/>
      <c r="W35" s="3351"/>
      <c r="X35" s="3352"/>
      <c r="BA35" s="1706">
        <v>35</v>
      </c>
    </row>
    <row r="36" spans="1:53" s="144" customFormat="1" ht="12.6" customHeight="1" thickTop="1">
      <c r="C36" s="3387"/>
      <c r="D36" s="3387"/>
      <c r="E36" s="829"/>
      <c r="F36" s="281" t="s">
        <v>184</v>
      </c>
      <c r="G36" s="3340">
        <f>SUM(G30:G35)</f>
        <v>7246638</v>
      </c>
      <c r="H36" s="3341"/>
      <c r="J36" s="3340">
        <f>SUM(J30:J35)</f>
        <v>7246638</v>
      </c>
      <c r="K36" s="3341"/>
      <c r="L36" s="828"/>
      <c r="M36" s="3340">
        <f>SUM(M30:M35)</f>
        <v>0</v>
      </c>
      <c r="N36" s="3341"/>
      <c r="P36" s="3340">
        <f>SUM(P30:P35)</f>
        <v>0</v>
      </c>
      <c r="Q36" s="3341"/>
      <c r="S36" s="3340">
        <f>SUM(S30:S35)</f>
        <v>0</v>
      </c>
      <c r="T36" s="3341"/>
      <c r="V36" s="851">
        <f>SUM(V30:V35)</f>
        <v>0</v>
      </c>
      <c r="W36" s="3353"/>
      <c r="X36" s="3354"/>
      <c r="AZ36" s="1968" t="s">
        <v>6371</v>
      </c>
      <c r="BA36" s="1706">
        <v>36</v>
      </c>
    </row>
    <row r="37" spans="1:53" s="144" customFormat="1" ht="12" customHeight="1">
      <c r="B37" s="243" t="s">
        <v>2163</v>
      </c>
      <c r="D37" s="3386" t="s">
        <v>3224</v>
      </c>
      <c r="E37" s="3386"/>
      <c r="F37" s="760">
        <f>SUM(F38:F40)</f>
        <v>0.13999970572318637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554579</v>
      </c>
      <c r="F38" s="1949">
        <f>IF(($G$28+$G$36)=0,0,G38/($G$28+$G$36))</f>
        <v>5.9999904792795586E-2</v>
      </c>
      <c r="G38" s="3232">
        <v>554579</v>
      </c>
      <c r="H38" s="3233"/>
      <c r="I38" s="145"/>
      <c r="J38" s="3232">
        <v>554579</v>
      </c>
      <c r="K38" s="3233"/>
      <c r="L38" s="828"/>
      <c r="M38" s="3232"/>
      <c r="N38" s="3233"/>
      <c r="P38" s="3232"/>
      <c r="Q38" s="3233"/>
      <c r="S38" s="3232"/>
      <c r="T38" s="3233"/>
      <c r="V38" s="849"/>
      <c r="W38" s="3344"/>
      <c r="X38" s="3345"/>
      <c r="AZ38" s="1968"/>
      <c r="BA38" s="1706">
        <v>38</v>
      </c>
    </row>
    <row r="39" spans="1:53" s="144" customFormat="1" ht="11.25" customHeight="1">
      <c r="B39" s="144" t="s">
        <v>2475</v>
      </c>
      <c r="D39" s="1947">
        <f>'DCA Underwriting Assumptions'!$R$39</f>
        <v>0.02</v>
      </c>
      <c r="E39" s="1948">
        <f>ROUNDDOWN(D39*(G28+G36),0)</f>
        <v>184859</v>
      </c>
      <c r="F39" s="1949">
        <f>IF(($G$28+$G$36)=0,0,G39/($G$28+$G$36))</f>
        <v>1.9999896137595181E-2</v>
      </c>
      <c r="G39" s="3243">
        <v>184859</v>
      </c>
      <c r="H39" s="3244"/>
      <c r="I39" s="145"/>
      <c r="J39" s="3243">
        <v>184859</v>
      </c>
      <c r="K39" s="3244"/>
      <c r="L39" s="828"/>
      <c r="M39" s="3243"/>
      <c r="N39" s="3244"/>
      <c r="P39" s="3243"/>
      <c r="Q39" s="3244"/>
      <c r="S39" s="3243"/>
      <c r="T39" s="3244"/>
      <c r="V39" s="849"/>
      <c r="W39" s="3344"/>
      <c r="X39" s="3345"/>
      <c r="AZ39" s="1968"/>
      <c r="BA39" s="1706">
        <v>39</v>
      </c>
    </row>
    <row r="40" spans="1:53" s="144" customFormat="1" ht="11.25" customHeight="1" thickBot="1">
      <c r="B40" s="144" t="s">
        <v>2476</v>
      </c>
      <c r="D40" s="1950">
        <f>'DCA Underwriting Assumptions'!$R$40</f>
        <v>0.06</v>
      </c>
      <c r="E40" s="1951">
        <f>ROUNDDOWN(D40*(G28+G36),0)</f>
        <v>554579</v>
      </c>
      <c r="F40" s="1952">
        <f>IF(($G$28+$G$36)=0,0,G40/($G$28+$G$36))</f>
        <v>5.9999904792795586E-2</v>
      </c>
      <c r="G40" s="3342">
        <v>554579</v>
      </c>
      <c r="H40" s="3343"/>
      <c r="I40" s="145"/>
      <c r="J40" s="3342">
        <v>554579</v>
      </c>
      <c r="K40" s="3343"/>
      <c r="L40" s="828"/>
      <c r="M40" s="3342"/>
      <c r="N40" s="3343"/>
      <c r="P40" s="3342"/>
      <c r="Q40" s="3343"/>
      <c r="S40" s="3342"/>
      <c r="T40" s="3343"/>
      <c r="V40" s="849"/>
      <c r="W40" s="3351"/>
      <c r="X40" s="3352"/>
      <c r="AZ40" s="1968"/>
      <c r="BA40" s="1706">
        <v>40</v>
      </c>
    </row>
    <row r="41" spans="1:53" s="144" customFormat="1" ht="12.6" customHeight="1" thickTop="1">
      <c r="B41" s="147" t="s">
        <v>3225</v>
      </c>
      <c r="D41" s="761">
        <f>SUM(D38:D40)</f>
        <v>0.14000000000000001</v>
      </c>
      <c r="E41" s="762">
        <f>SUM(E38:E40)</f>
        <v>1294017</v>
      </c>
      <c r="F41" s="1946" t="s">
        <v>184</v>
      </c>
      <c r="G41" s="3340">
        <f>SUM(G38:G40)</f>
        <v>1294017</v>
      </c>
      <c r="H41" s="3341"/>
      <c r="J41" s="3340">
        <f>SUM(J38:J40)</f>
        <v>1294017</v>
      </c>
      <c r="K41" s="3341"/>
      <c r="L41" s="283"/>
      <c r="M41" s="3340">
        <f>SUM(M38:M40)</f>
        <v>0</v>
      </c>
      <c r="N41" s="3341"/>
      <c r="P41" s="3340">
        <f>SUM(P38:P40)</f>
        <v>0</v>
      </c>
      <c r="Q41" s="3341"/>
      <c r="S41" s="3340">
        <f>SUM(S38:S40)</f>
        <v>0</v>
      </c>
      <c r="T41" s="3341"/>
      <c r="V41" s="851">
        <f>SUM(V38:V40)</f>
        <v>0</v>
      </c>
      <c r="W41" s="3353"/>
      <c r="X41" s="3354"/>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6">
        <f>G28+G36+G41</f>
        <v>10537015</v>
      </c>
      <c r="H43" s="3407"/>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9" t="s">
        <v>6721</v>
      </c>
      <c r="D46" s="3404"/>
      <c r="E46" s="3404"/>
      <c r="F46" s="3405"/>
      <c r="G46" s="3390"/>
      <c r="H46" s="3391"/>
      <c r="I46" s="144"/>
      <c r="J46" s="3390"/>
      <c r="K46" s="3391"/>
      <c r="L46" s="828"/>
      <c r="M46" s="3390"/>
      <c r="N46" s="3391"/>
      <c r="O46" s="144"/>
      <c r="P46" s="3390"/>
      <c r="Q46" s="3391"/>
      <c r="R46" s="144"/>
      <c r="S46" s="3390"/>
      <c r="T46" s="3391"/>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398" t="s">
        <v>2478</v>
      </c>
      <c r="F48" s="1667">
        <f>C49/'Part V-Revenues &amp; Expenses'!$P$65</f>
        <v>239477.61363636365</v>
      </c>
      <c r="G48" s="1668" t="s">
        <v>2492</v>
      </c>
      <c r="H48" s="1669"/>
      <c r="I48" s="1669"/>
      <c r="J48" s="3400">
        <f>C49/'Part V-Revenues &amp; Expenses'!$P$67</f>
        <v>239477.61363636365</v>
      </c>
      <c r="K48" s="3400"/>
      <c r="L48" s="1669"/>
      <c r="M48" s="3401" t="s">
        <v>6475</v>
      </c>
      <c r="N48" s="3401"/>
      <c r="O48" s="1669"/>
      <c r="P48" s="3400">
        <f>C49/'Part V-Revenues &amp; Expenses'!$K$175</f>
        <v>227.41431777960028</v>
      </c>
      <c r="Q48" s="3400"/>
      <c r="R48" s="1669"/>
      <c r="S48" s="3402" t="s">
        <v>6477</v>
      </c>
      <c r="T48" s="3403"/>
      <c r="V48" s="852"/>
      <c r="W48" s="3394"/>
      <c r="X48" s="3395"/>
      <c r="AZ48" s="1968"/>
      <c r="BA48" s="1706">
        <v>48</v>
      </c>
    </row>
    <row r="49" spans="1:53" s="144" customFormat="1" ht="12.6" customHeight="1">
      <c r="B49" s="1714" t="s">
        <v>6488</v>
      </c>
      <c r="C49" s="1713">
        <f>G28+G36+G41+G46</f>
        <v>10537015</v>
      </c>
      <c r="E49" s="3399"/>
      <c r="F49" s="1670">
        <f>C49/'Part V-Revenues &amp; Expenses'!$P$166</f>
        <v>238.75050981103004</v>
      </c>
      <c r="G49" s="1671" t="s">
        <v>2493</v>
      </c>
      <c r="H49" s="1672"/>
      <c r="I49" s="1672"/>
      <c r="J49" s="3388">
        <f>C49/'Part V-Revenues &amp; Expenses'!$P$168</f>
        <v>238.75050981103004</v>
      </c>
      <c r="K49" s="3388"/>
      <c r="L49" s="1672"/>
      <c r="M49" s="3389" t="s">
        <v>6476</v>
      </c>
      <c r="N49" s="3389"/>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0" t="s">
        <v>259</v>
      </c>
      <c r="K51" s="3361"/>
      <c r="L51" s="280"/>
      <c r="M51" s="3366" t="s">
        <v>460</v>
      </c>
      <c r="N51" s="3367"/>
      <c r="P51" s="3360" t="s">
        <v>260</v>
      </c>
      <c r="Q51" s="3361"/>
      <c r="S51" s="3360" t="s">
        <v>261</v>
      </c>
      <c r="T51" s="3361"/>
      <c r="V51" s="852"/>
      <c r="W51" s="344" t="str">
        <f>B51</f>
        <v>DEVELOPMENT BUDGET (cont'd)</v>
      </c>
      <c r="AZ51" s="1968"/>
      <c r="BA51" s="1706">
        <v>58</v>
      </c>
    </row>
    <row r="52" spans="1:53" s="144" customFormat="1" ht="18.75" customHeight="1" thickBot="1">
      <c r="G52" s="3346" t="s">
        <v>95</v>
      </c>
      <c r="H52" s="3347"/>
      <c r="J52" s="3362"/>
      <c r="K52" s="3363"/>
      <c r="L52" s="280"/>
      <c r="M52" s="3368"/>
      <c r="N52" s="3369"/>
      <c r="P52" s="3362"/>
      <c r="Q52" s="3363"/>
      <c r="S52" s="3362"/>
      <c r="T52" s="3363"/>
      <c r="V52" s="852"/>
      <c r="W52" s="3466" t="s">
        <v>2448</v>
      </c>
      <c r="X52" s="346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526850.75</v>
      </c>
      <c r="F55" s="1756">
        <f>G55/C49</f>
        <v>4.9999928822346745E-2</v>
      </c>
      <c r="G55" s="3390">
        <v>526850</v>
      </c>
      <c r="H55" s="3391"/>
      <c r="I55" s="144"/>
      <c r="J55" s="3390">
        <v>526850</v>
      </c>
      <c r="K55" s="3391"/>
      <c r="L55" s="828"/>
      <c r="M55" s="3390"/>
      <c r="N55" s="3391"/>
      <c r="O55" s="144"/>
      <c r="P55" s="3390"/>
      <c r="Q55" s="3391"/>
      <c r="R55" s="144"/>
      <c r="S55" s="3390"/>
      <c r="T55" s="3391"/>
      <c r="V55" s="849"/>
      <c r="W55" s="3344"/>
      <c r="X55" s="334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483" t="s">
        <v>6298</v>
      </c>
      <c r="F57" s="1667">
        <f>B58/'Part V-Revenues &amp; Expenses'!$P$65</f>
        <v>251451.47727272726</v>
      </c>
      <c r="G57" s="1668" t="s">
        <v>2492</v>
      </c>
      <c r="H57" s="1669"/>
      <c r="I57" s="1669"/>
      <c r="J57" s="3400">
        <f>B58/'Part V-Revenues &amp; Expenses'!$P$67</f>
        <v>251451.47727272726</v>
      </c>
      <c r="K57" s="3400"/>
      <c r="L57" s="1669"/>
      <c r="M57" s="3401" t="s">
        <v>6475</v>
      </c>
      <c r="N57" s="3401"/>
      <c r="O57" s="1669"/>
      <c r="P57" s="3400">
        <f>B58/'Part V-Revenues &amp; Expenses'!$K$175</f>
        <v>238.78501748176285</v>
      </c>
      <c r="Q57" s="3400"/>
      <c r="R57" s="1669"/>
      <c r="S57" s="3402" t="s">
        <v>6477</v>
      </c>
      <c r="T57" s="3403"/>
      <c r="V57" s="852"/>
      <c r="W57" s="3394"/>
      <c r="X57" s="3395"/>
      <c r="AZ57" s="1968"/>
      <c r="BA57" s="1706">
        <v>54</v>
      </c>
    </row>
    <row r="58" spans="1:53" s="144" customFormat="1" ht="12.6" customHeight="1">
      <c r="B58" s="3481">
        <f>C49+G55</f>
        <v>11063865</v>
      </c>
      <c r="C58" s="3482"/>
      <c r="E58" s="3484"/>
      <c r="F58" s="1670">
        <f>B58/'Part V-Revenues &amp; Expenses'!$P$166</f>
        <v>250.68801830788055</v>
      </c>
      <c r="G58" s="1671" t="s">
        <v>2493</v>
      </c>
      <c r="H58" s="1672"/>
      <c r="I58" s="1672"/>
      <c r="J58" s="3388">
        <f>B58/'Part V-Revenues &amp; Expenses'!$P$168</f>
        <v>250.68801830788055</v>
      </c>
      <c r="K58" s="3388"/>
      <c r="L58" s="1672"/>
      <c r="M58" s="3389" t="s">
        <v>6476</v>
      </c>
      <c r="N58" s="3389"/>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2"/>
      <c r="H61" s="3233"/>
      <c r="J61" s="3232"/>
      <c r="K61" s="3233"/>
      <c r="L61" s="828"/>
      <c r="M61" s="3232"/>
      <c r="N61" s="3233"/>
      <c r="P61" s="3232"/>
      <c r="Q61" s="3233"/>
      <c r="S61" s="3232"/>
      <c r="T61" s="3233"/>
      <c r="V61" s="853"/>
      <c r="W61" s="3344"/>
      <c r="X61" s="3345"/>
      <c r="AZ61" s="1968"/>
      <c r="BA61" s="1706">
        <v>61</v>
      </c>
    </row>
    <row r="62" spans="1:53" s="144" customFormat="1" ht="12" customHeight="1">
      <c r="B62" s="144" t="s">
        <v>3227</v>
      </c>
      <c r="G62" s="3243"/>
      <c r="H62" s="3244"/>
      <c r="J62" s="3243"/>
      <c r="K62" s="3244"/>
      <c r="L62" s="828"/>
      <c r="M62" s="3243"/>
      <c r="N62" s="3244"/>
      <c r="P62" s="3243"/>
      <c r="Q62" s="3244"/>
      <c r="S62" s="3243"/>
      <c r="T62" s="3244"/>
      <c r="V62" s="853"/>
      <c r="W62" s="3344"/>
      <c r="X62" s="3345"/>
      <c r="AZ62" s="1968"/>
      <c r="BA62" s="1706">
        <v>62</v>
      </c>
    </row>
    <row r="63" spans="1:53" s="144" customFormat="1" ht="12" customHeight="1">
      <c r="B63" s="144" t="s">
        <v>2166</v>
      </c>
      <c r="G63" s="3243">
        <v>111000</v>
      </c>
      <c r="H63" s="3244"/>
      <c r="J63" s="3243">
        <v>55500</v>
      </c>
      <c r="K63" s="3244"/>
      <c r="L63" s="828"/>
      <c r="M63" s="3243"/>
      <c r="N63" s="3244"/>
      <c r="P63" s="3243"/>
      <c r="Q63" s="3244"/>
      <c r="S63" s="3243">
        <v>55500</v>
      </c>
      <c r="T63" s="3244"/>
      <c r="V63" s="853"/>
      <c r="W63" s="3344"/>
      <c r="X63" s="3345"/>
      <c r="AZ63" s="1968"/>
      <c r="BA63" s="1706">
        <v>63</v>
      </c>
    </row>
    <row r="64" spans="1:53" s="144" customFormat="1" ht="12" customHeight="1">
      <c r="B64" s="144" t="s">
        <v>2167</v>
      </c>
      <c r="G64" s="3243">
        <v>488570.18249717611</v>
      </c>
      <c r="H64" s="3244"/>
      <c r="J64" s="3243">
        <v>488570.18249717611</v>
      </c>
      <c r="K64" s="3244"/>
      <c r="L64" s="828"/>
      <c r="M64" s="3243"/>
      <c r="N64" s="3244"/>
      <c r="P64" s="3243"/>
      <c r="Q64" s="3244"/>
      <c r="S64" s="3243"/>
      <c r="T64" s="3244"/>
      <c r="V64" s="853"/>
      <c r="W64" s="3344"/>
      <c r="X64" s="3345"/>
      <c r="AZ64" s="1968"/>
      <c r="BA64" s="1706">
        <v>64</v>
      </c>
    </row>
    <row r="65" spans="1:53" s="144" customFormat="1" ht="12" customHeight="1">
      <c r="B65" s="144" t="s">
        <v>2168</v>
      </c>
      <c r="G65" s="3243">
        <v>60000</v>
      </c>
      <c r="H65" s="3244"/>
      <c r="J65" s="3243">
        <v>60000</v>
      </c>
      <c r="K65" s="3244"/>
      <c r="L65" s="828"/>
      <c r="M65" s="3243"/>
      <c r="N65" s="3244"/>
      <c r="P65" s="3243"/>
      <c r="Q65" s="3244"/>
      <c r="S65" s="3243"/>
      <c r="T65" s="3244"/>
      <c r="V65" s="853"/>
      <c r="W65" s="3344"/>
      <c r="X65" s="3345"/>
      <c r="AZ65" s="1968" t="s">
        <v>6375</v>
      </c>
      <c r="BA65" s="1706">
        <v>65</v>
      </c>
    </row>
    <row r="66" spans="1:53" s="144" customFormat="1" ht="12" customHeight="1">
      <c r="B66" s="144" t="s">
        <v>2450</v>
      </c>
      <c r="G66" s="3243">
        <v>30000</v>
      </c>
      <c r="H66" s="3244"/>
      <c r="J66" s="3243">
        <v>30000</v>
      </c>
      <c r="K66" s="3244"/>
      <c r="L66" s="828"/>
      <c r="M66" s="3243"/>
      <c r="N66" s="3244"/>
      <c r="P66" s="3243"/>
      <c r="Q66" s="3244"/>
      <c r="S66" s="3243"/>
      <c r="T66" s="3244"/>
      <c r="V66" s="853"/>
      <c r="W66" s="3344"/>
      <c r="X66" s="3345"/>
      <c r="AZ66" s="1968" t="s">
        <v>6376</v>
      </c>
      <c r="BA66" s="1706">
        <v>66</v>
      </c>
    </row>
    <row r="67" spans="1:53" s="144" customFormat="1" ht="12" customHeight="1">
      <c r="B67" s="144" t="s">
        <v>676</v>
      </c>
      <c r="G67" s="3243">
        <v>6500</v>
      </c>
      <c r="H67" s="3244"/>
      <c r="J67" s="3243">
        <v>6500</v>
      </c>
      <c r="K67" s="3244"/>
      <c r="L67" s="828"/>
      <c r="M67" s="3243"/>
      <c r="N67" s="3244"/>
      <c r="P67" s="3243"/>
      <c r="Q67" s="3244"/>
      <c r="S67" s="3243"/>
      <c r="T67" s="3244"/>
      <c r="V67" s="853"/>
      <c r="W67" s="3344"/>
      <c r="X67" s="3345"/>
      <c r="AZ67" s="1968" t="s">
        <v>6377</v>
      </c>
      <c r="BA67" s="1706">
        <v>67</v>
      </c>
    </row>
    <row r="68" spans="1:53" s="144" customFormat="1" ht="12" customHeight="1">
      <c r="B68" s="144" t="s">
        <v>2169</v>
      </c>
      <c r="G68" s="3243">
        <v>25000</v>
      </c>
      <c r="H68" s="3244"/>
      <c r="J68" s="3243">
        <v>25000</v>
      </c>
      <c r="K68" s="3244"/>
      <c r="L68" s="828"/>
      <c r="M68" s="3243"/>
      <c r="N68" s="3244"/>
      <c r="P68" s="3243"/>
      <c r="Q68" s="3244"/>
      <c r="S68" s="3243"/>
      <c r="T68" s="3244"/>
      <c r="V68" s="853"/>
      <c r="W68" s="3344"/>
      <c r="X68" s="3345"/>
      <c r="AZ68" s="1968"/>
      <c r="BA68" s="1706">
        <v>68</v>
      </c>
    </row>
    <row r="69" spans="1:53" s="144" customFormat="1" ht="12" customHeight="1">
      <c r="B69" s="144" t="s">
        <v>1200</v>
      </c>
      <c r="G69" s="3243">
        <v>38500</v>
      </c>
      <c r="H69" s="3244"/>
      <c r="J69" s="3243">
        <v>38500</v>
      </c>
      <c r="K69" s="3244"/>
      <c r="L69" s="828"/>
      <c r="M69" s="3243"/>
      <c r="N69" s="3244"/>
      <c r="P69" s="3243"/>
      <c r="Q69" s="3244"/>
      <c r="S69" s="3243"/>
      <c r="T69" s="3244"/>
      <c r="V69" s="853"/>
      <c r="W69" s="3344"/>
      <c r="X69" s="3345"/>
      <c r="AZ69" s="1968"/>
      <c r="BA69" s="1706">
        <v>69</v>
      </c>
    </row>
    <row r="70" spans="1:53" s="144" customFormat="1" ht="12" customHeight="1">
      <c r="B70" s="287" t="s">
        <v>1085</v>
      </c>
      <c r="D70" s="285"/>
      <c r="E70" s="285"/>
      <c r="F70" s="286"/>
      <c r="G70" s="3243"/>
      <c r="H70" s="3244"/>
      <c r="I70" s="145"/>
      <c r="J70" s="3243"/>
      <c r="K70" s="3244"/>
      <c r="L70" s="828"/>
      <c r="M70" s="3243"/>
      <c r="N70" s="3244"/>
      <c r="P70" s="3243"/>
      <c r="Q70" s="3244"/>
      <c r="S70" s="3243"/>
      <c r="T70" s="3244"/>
      <c r="V70" s="853"/>
      <c r="W70" s="3344"/>
      <c r="X70" s="3345"/>
      <c r="AZ70" s="1968"/>
      <c r="BA70" s="1706">
        <v>70</v>
      </c>
    </row>
    <row r="71" spans="1:53" s="144" customFormat="1" ht="12" customHeight="1">
      <c r="A71" s="303" t="str">
        <f>IF(AND(G71&gt;0,OR(C71="",C71="&lt;Enter detailed description here; use Comments section if needed&gt;")),"X","")</f>
        <v/>
      </c>
      <c r="B71" s="147" t="s">
        <v>6276</v>
      </c>
      <c r="C71" s="3410" t="s">
        <v>6721</v>
      </c>
      <c r="D71" s="3410"/>
      <c r="E71" s="3410"/>
      <c r="F71" s="3411"/>
      <c r="G71" s="3243"/>
      <c r="H71" s="3244"/>
      <c r="J71" s="3243"/>
      <c r="K71" s="3244"/>
      <c r="L71" s="828"/>
      <c r="M71" s="3243"/>
      <c r="N71" s="3244"/>
      <c r="P71" s="3243"/>
      <c r="Q71" s="3244"/>
      <c r="S71" s="3243"/>
      <c r="T71" s="3244"/>
      <c r="U71" s="302" t="str">
        <f>IF(AND(G71&gt;0,OR(C71="",C71="&lt;Enter detailed description here; use Comments section if needed&gt;")),"NO DESCRIPTION PROVIDED - please enter detailed description in Other box at left; use Comments section below if needed.","")</f>
        <v/>
      </c>
      <c r="V71" s="853"/>
      <c r="W71" s="3344"/>
      <c r="X71" s="3345"/>
      <c r="AZ71" s="1968"/>
      <c r="BA71" s="1706">
        <v>71</v>
      </c>
    </row>
    <row r="72" spans="1:53" s="144" customFormat="1" ht="12" customHeight="1" thickBot="1">
      <c r="A72" s="303" t="str">
        <f>IF(AND(G72&gt;0,OR(C72="",C72="&lt;Enter detailed description here; use Comments section if needed&gt;")),"X","")</f>
        <v/>
      </c>
      <c r="B72" s="147" t="s">
        <v>6277</v>
      </c>
      <c r="C72" s="3408" t="s">
        <v>6721</v>
      </c>
      <c r="D72" s="3408"/>
      <c r="E72" s="3408"/>
      <c r="F72" s="3409"/>
      <c r="G72" s="3191"/>
      <c r="H72" s="3192"/>
      <c r="J72" s="3191"/>
      <c r="K72" s="3192"/>
      <c r="L72" s="828"/>
      <c r="M72" s="3191"/>
      <c r="N72" s="3192"/>
      <c r="P72" s="3191"/>
      <c r="Q72" s="3192"/>
      <c r="S72" s="3191"/>
      <c r="T72" s="3192"/>
      <c r="U72" s="302" t="str">
        <f>IF(AND(G72&gt;0,OR(C72="",C72="&lt;Enter detailed description here; use Comments section if needed&gt;")),"NO DESCRIPTION PROVIDED - please enter detailed description in Other box at left; use Comments section below if needed.","")</f>
        <v/>
      </c>
      <c r="V72" s="853"/>
      <c r="W72" s="3351"/>
      <c r="X72" s="3352"/>
      <c r="AZ72" s="1968"/>
      <c r="BA72" s="1706">
        <v>72</v>
      </c>
    </row>
    <row r="73" spans="1:53" s="144" customFormat="1" ht="12" customHeight="1" thickTop="1">
      <c r="F73" s="281" t="s">
        <v>184</v>
      </c>
      <c r="G73" s="3340">
        <f>SUM(G61:G72)</f>
        <v>759570.18249717611</v>
      </c>
      <c r="H73" s="3341"/>
      <c r="J73" s="3340">
        <f>SUM(J61:J72)</f>
        <v>704070.18249717611</v>
      </c>
      <c r="K73" s="3341"/>
      <c r="L73" s="283"/>
      <c r="M73" s="3340">
        <f>SUM(M61:M72)</f>
        <v>0</v>
      </c>
      <c r="N73" s="3341"/>
      <c r="P73" s="3340">
        <f>SUM(P61:P72)</f>
        <v>0</v>
      </c>
      <c r="Q73" s="3341"/>
      <c r="S73" s="3340">
        <f>SUM(S61:S72)</f>
        <v>55500</v>
      </c>
      <c r="T73" s="3341"/>
      <c r="V73" s="854">
        <f>SUM(V61:V72)</f>
        <v>0</v>
      </c>
      <c r="W73" s="3353"/>
      <c r="X73" s="3354"/>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2">
        <v>147400</v>
      </c>
      <c r="H75" s="3233"/>
      <c r="J75" s="3232">
        <v>147400</v>
      </c>
      <c r="K75" s="3233"/>
      <c r="L75" s="828"/>
      <c r="M75" s="3232"/>
      <c r="N75" s="3233"/>
      <c r="P75" s="3232"/>
      <c r="Q75" s="3233"/>
      <c r="S75" s="3232"/>
      <c r="T75" s="3233"/>
      <c r="V75" s="849"/>
      <c r="W75" s="3344"/>
      <c r="X75" s="3345"/>
      <c r="AZ75" s="1968"/>
      <c r="BA75" s="1706">
        <v>75</v>
      </c>
    </row>
    <row r="76" spans="1:53" s="144" customFormat="1" ht="12" customHeight="1">
      <c r="B76" s="144" t="s">
        <v>451</v>
      </c>
      <c r="G76" s="3243">
        <v>22000</v>
      </c>
      <c r="H76" s="3244"/>
      <c r="J76" s="3243">
        <v>22000</v>
      </c>
      <c r="K76" s="3244"/>
      <c r="L76" s="828"/>
      <c r="M76" s="3243"/>
      <c r="N76" s="3244"/>
      <c r="P76" s="3243"/>
      <c r="Q76" s="3244"/>
      <c r="S76" s="3243"/>
      <c r="T76" s="3244"/>
      <c r="V76" s="849"/>
      <c r="W76" s="3344"/>
      <c r="X76" s="3345"/>
      <c r="AZ76" s="1968"/>
      <c r="BA76" s="1706">
        <v>76</v>
      </c>
    </row>
    <row r="77" spans="1:53" s="144" customFormat="1" ht="12" customHeight="1">
      <c r="B77" s="144" t="s">
        <v>1061</v>
      </c>
      <c r="D77" s="247"/>
      <c r="E77" s="844"/>
      <c r="F77" s="393"/>
      <c r="G77" s="3243">
        <v>30000</v>
      </c>
      <c r="H77" s="3244"/>
      <c r="J77" s="3243">
        <v>30000</v>
      </c>
      <c r="K77" s="3244"/>
      <c r="L77" s="828"/>
      <c r="M77" s="3243"/>
      <c r="N77" s="3244"/>
      <c r="P77" s="3243"/>
      <c r="Q77" s="3244"/>
      <c r="S77" s="3243"/>
      <c r="T77" s="3244"/>
      <c r="V77" s="849"/>
      <c r="W77" s="3344"/>
      <c r="X77" s="3345"/>
      <c r="AZ77" s="1968"/>
      <c r="BA77" s="1706">
        <v>77</v>
      </c>
    </row>
    <row r="78" spans="1:53" s="144" customFormat="1" ht="12" customHeight="1">
      <c r="B78" s="144" t="s">
        <v>1062</v>
      </c>
      <c r="G78" s="3243">
        <v>6000</v>
      </c>
      <c r="H78" s="3244"/>
      <c r="J78" s="3243">
        <v>6000</v>
      </c>
      <c r="K78" s="3244"/>
      <c r="L78" s="828"/>
      <c r="M78" s="3243"/>
      <c r="N78" s="3244"/>
      <c r="P78" s="3243"/>
      <c r="Q78" s="3244"/>
      <c r="S78" s="3243"/>
      <c r="T78" s="3244"/>
      <c r="V78" s="849"/>
      <c r="W78" s="3344"/>
      <c r="X78" s="3345"/>
      <c r="AZ78" s="1968"/>
      <c r="BA78" s="1706">
        <v>78</v>
      </c>
    </row>
    <row r="79" spans="1:53" s="144" customFormat="1" ht="12" customHeight="1">
      <c r="B79" s="144" t="s">
        <v>1063</v>
      </c>
      <c r="G79" s="3243">
        <v>15000</v>
      </c>
      <c r="H79" s="3244"/>
      <c r="J79" s="3243">
        <v>15000</v>
      </c>
      <c r="K79" s="3244"/>
      <c r="L79" s="828"/>
      <c r="M79" s="3243"/>
      <c r="N79" s="3244"/>
      <c r="P79" s="3243"/>
      <c r="Q79" s="3244"/>
      <c r="S79" s="3243"/>
      <c r="T79" s="3244"/>
      <c r="V79" s="849"/>
      <c r="W79" s="3344"/>
      <c r="X79" s="3345"/>
      <c r="AZ79" s="1968" t="s">
        <v>6378</v>
      </c>
      <c r="BA79" s="1706">
        <v>79</v>
      </c>
    </row>
    <row r="80" spans="1:53" s="144" customFormat="1" ht="12" customHeight="1">
      <c r="B80" s="144" t="s">
        <v>1064</v>
      </c>
      <c r="G80" s="3243">
        <v>36000</v>
      </c>
      <c r="H80" s="3244"/>
      <c r="J80" s="3243">
        <v>36000</v>
      </c>
      <c r="K80" s="3244"/>
      <c r="L80" s="828"/>
      <c r="M80" s="3243"/>
      <c r="N80" s="3244"/>
      <c r="P80" s="3243"/>
      <c r="Q80" s="3244"/>
      <c r="S80" s="3243"/>
      <c r="T80" s="3244"/>
      <c r="V80" s="849"/>
      <c r="W80" s="3344"/>
      <c r="X80" s="3345"/>
      <c r="AZ80" s="1968" t="s">
        <v>6379</v>
      </c>
      <c r="BA80" s="1706">
        <v>80</v>
      </c>
    </row>
    <row r="81" spans="1:53" s="144" customFormat="1" ht="12" customHeight="1">
      <c r="B81" s="144" t="s">
        <v>452</v>
      </c>
      <c r="G81" s="3243">
        <v>105000</v>
      </c>
      <c r="H81" s="3244"/>
      <c r="J81" s="3243">
        <v>105000</v>
      </c>
      <c r="K81" s="3244"/>
      <c r="L81" s="828"/>
      <c r="M81" s="3243"/>
      <c r="N81" s="3244"/>
      <c r="P81" s="3243"/>
      <c r="Q81" s="3244"/>
      <c r="S81" s="3243"/>
      <c r="T81" s="3244"/>
      <c r="V81" s="849"/>
      <c r="W81" s="3344"/>
      <c r="X81" s="3345"/>
      <c r="AZ81" s="744"/>
      <c r="BA81" s="1706">
        <v>81</v>
      </c>
    </row>
    <row r="82" spans="1:53" s="144" customFormat="1" ht="12" customHeight="1">
      <c r="B82" s="144" t="s">
        <v>453</v>
      </c>
      <c r="G82" s="3243">
        <v>25000</v>
      </c>
      <c r="H82" s="3244"/>
      <c r="J82" s="3243">
        <v>13000</v>
      </c>
      <c r="K82" s="3244"/>
      <c r="L82" s="828"/>
      <c r="M82" s="3243"/>
      <c r="N82" s="3244"/>
      <c r="P82" s="3243"/>
      <c r="Q82" s="3244"/>
      <c r="S82" s="3243">
        <v>12000</v>
      </c>
      <c r="T82" s="3244"/>
      <c r="V82" s="849"/>
      <c r="W82" s="3344"/>
      <c r="X82" s="3345"/>
      <c r="AZ82" s="1968"/>
      <c r="BA82" s="1706">
        <v>82</v>
      </c>
    </row>
    <row r="83" spans="1:53" s="144" customFormat="1" ht="12" customHeight="1">
      <c r="B83" s="144" t="s">
        <v>1899</v>
      </c>
      <c r="G83" s="3243">
        <v>33800</v>
      </c>
      <c r="H83" s="3244"/>
      <c r="J83" s="3243">
        <v>33800</v>
      </c>
      <c r="K83" s="3244"/>
      <c r="L83" s="828"/>
      <c r="M83" s="3243"/>
      <c r="N83" s="3244"/>
      <c r="P83" s="3243"/>
      <c r="Q83" s="3244"/>
      <c r="S83" s="3243"/>
      <c r="T83" s="3244"/>
      <c r="V83" s="849"/>
      <c r="W83" s="3344"/>
      <c r="X83" s="3345"/>
      <c r="AZ83" s="1968"/>
      <c r="BA83" s="1706">
        <v>83</v>
      </c>
    </row>
    <row r="84" spans="1:53" s="144" customFormat="1" ht="12" customHeight="1">
      <c r="B84" s="144" t="s">
        <v>1201</v>
      </c>
      <c r="G84" s="3243">
        <v>5000</v>
      </c>
      <c r="H84" s="3244"/>
      <c r="J84" s="3243">
        <v>5000</v>
      </c>
      <c r="K84" s="3244"/>
      <c r="L84" s="828"/>
      <c r="M84" s="3243"/>
      <c r="N84" s="3244"/>
      <c r="P84" s="3243"/>
      <c r="Q84" s="3244"/>
      <c r="S84" s="3243"/>
      <c r="T84" s="3244"/>
      <c r="V84" s="849"/>
      <c r="W84" s="3344"/>
      <c r="X84" s="3345"/>
      <c r="AZ84" s="1968"/>
      <c r="BA84" s="1706">
        <v>84</v>
      </c>
    </row>
    <row r="85" spans="1:53" s="144" customFormat="1" ht="12" customHeight="1" thickBot="1">
      <c r="A85" s="303" t="str">
        <f>IF(AND(G85&gt;0,OR(C85="",C85="&lt;Enter detailed description here; use Comments section if needed&gt;")),"X","")</f>
        <v/>
      </c>
      <c r="B85" s="147" t="s">
        <v>6278</v>
      </c>
      <c r="C85" s="3379" t="s">
        <v>6721</v>
      </c>
      <c r="D85" s="3379"/>
      <c r="E85" s="3379"/>
      <c r="F85" s="3380"/>
      <c r="G85" s="3191"/>
      <c r="H85" s="3192"/>
      <c r="J85" s="3191"/>
      <c r="K85" s="3192"/>
      <c r="L85" s="828"/>
      <c r="M85" s="3191"/>
      <c r="N85" s="3192"/>
      <c r="P85" s="3191"/>
      <c r="Q85" s="3192"/>
      <c r="S85" s="3191"/>
      <c r="T85" s="3192"/>
      <c r="U85" s="302" t="str">
        <f>IF(AND(G85&gt;0,OR(C85="",C85="&lt;Enter detailed description here; use Comments section if needed&gt;")),"NO DESCRIPTION PROVIDED - please enter detailed description in Other box at left; use Comments section below if needed.","")</f>
        <v/>
      </c>
      <c r="V85" s="849"/>
      <c r="W85" s="3351"/>
      <c r="X85" s="3352"/>
      <c r="AZ85" s="1968"/>
      <c r="BA85" s="1706">
        <v>85</v>
      </c>
    </row>
    <row r="86" spans="1:53" s="144" customFormat="1" ht="12" customHeight="1" thickTop="1">
      <c r="F86" s="281" t="s">
        <v>184</v>
      </c>
      <c r="G86" s="3340">
        <f>SUM(G75:G85)</f>
        <v>425200</v>
      </c>
      <c r="H86" s="3341"/>
      <c r="J86" s="3340">
        <f>SUM(J75:J85)</f>
        <v>413200</v>
      </c>
      <c r="K86" s="3341"/>
      <c r="L86" s="283"/>
      <c r="M86" s="3340">
        <f>SUM(M75:M85)</f>
        <v>0</v>
      </c>
      <c r="N86" s="3341"/>
      <c r="P86" s="3340">
        <f>SUM(P75:P85)</f>
        <v>0</v>
      </c>
      <c r="Q86" s="3341"/>
      <c r="S86" s="3340">
        <f>SUM(S75:S85)</f>
        <v>12000</v>
      </c>
      <c r="T86" s="3341"/>
      <c r="V86" s="851">
        <f>SUM(V75:V85)</f>
        <v>0</v>
      </c>
      <c r="W86" s="3353"/>
      <c r="X86" s="3354"/>
      <c r="AZ86" s="1968" t="s">
        <v>6380</v>
      </c>
      <c r="BA86" s="1706">
        <v>86</v>
      </c>
    </row>
    <row r="87" spans="1:53" ht="12" customHeight="1">
      <c r="A87" s="144"/>
      <c r="B87" s="243" t="s">
        <v>1193</v>
      </c>
      <c r="C87" s="144"/>
      <c r="D87" s="690" t="s">
        <v>3228</v>
      </c>
      <c r="E87" s="763">
        <f>G92/'Part V-Revenues &amp; Expenses'!$P$67</f>
        <v>1010.6136363636364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2">
        <v>18867</v>
      </c>
      <c r="H88" s="3233"/>
      <c r="J88" s="3232">
        <v>18867</v>
      </c>
      <c r="K88" s="3233"/>
      <c r="L88" s="828"/>
      <c r="M88" s="3232"/>
      <c r="N88" s="3233"/>
      <c r="P88" s="3232"/>
      <c r="Q88" s="3233"/>
      <c r="S88" s="3232"/>
      <c r="T88" s="3233"/>
      <c r="V88" s="849"/>
      <c r="W88" s="3344"/>
      <c r="X88" s="3345"/>
      <c r="AZ88" s="1968"/>
      <c r="BA88" s="1706">
        <v>88</v>
      </c>
    </row>
    <row r="89" spans="1:53" s="144" customFormat="1" ht="12" customHeight="1">
      <c r="B89" s="144" t="s">
        <v>1195</v>
      </c>
      <c r="G89" s="3243"/>
      <c r="H89" s="3244"/>
      <c r="J89" s="3243"/>
      <c r="K89" s="3244"/>
      <c r="L89" s="828"/>
      <c r="M89" s="3243"/>
      <c r="N89" s="3244"/>
      <c r="P89" s="3243"/>
      <c r="Q89" s="3244"/>
      <c r="S89" s="3243"/>
      <c r="T89" s="3244"/>
      <c r="V89" s="849"/>
      <c r="W89" s="3344"/>
      <c r="X89" s="3345"/>
      <c r="AZ89" s="1968"/>
      <c r="BA89" s="1706">
        <v>89</v>
      </c>
    </row>
    <row r="90" spans="1:53" s="144" customFormat="1" ht="12" customHeight="1">
      <c r="B90" s="144" t="s">
        <v>1196</v>
      </c>
      <c r="D90" s="289" t="s">
        <v>1324</v>
      </c>
      <c r="E90" s="863" t="s">
        <v>2652</v>
      </c>
      <c r="G90" s="3243">
        <v>24200</v>
      </c>
      <c r="H90" s="3244"/>
      <c r="I90" s="145"/>
      <c r="J90" s="3243">
        <v>24200</v>
      </c>
      <c r="K90" s="3244"/>
      <c r="L90" s="828"/>
      <c r="M90" s="3243"/>
      <c r="N90" s="3244"/>
      <c r="P90" s="3243"/>
      <c r="Q90" s="3244"/>
      <c r="S90" s="3243"/>
      <c r="T90" s="3244"/>
      <c r="V90" s="849"/>
      <c r="W90" s="3344"/>
      <c r="X90" s="3345"/>
      <c r="AZ90" s="1968"/>
      <c r="BA90" s="1706">
        <v>90</v>
      </c>
    </row>
    <row r="91" spans="1:53" s="144" customFormat="1" ht="12" customHeight="1" thickBot="1">
      <c r="B91" s="144" t="s">
        <v>1197</v>
      </c>
      <c r="D91" s="289" t="s">
        <v>1324</v>
      </c>
      <c r="E91" s="864" t="s">
        <v>2652</v>
      </c>
      <c r="G91" s="3191">
        <v>1400</v>
      </c>
      <c r="H91" s="3192"/>
      <c r="I91" s="145"/>
      <c r="J91" s="3191">
        <v>1400</v>
      </c>
      <c r="K91" s="3192"/>
      <c r="L91" s="828"/>
      <c r="M91" s="3191"/>
      <c r="N91" s="3192"/>
      <c r="P91" s="3191"/>
      <c r="Q91" s="3192"/>
      <c r="S91" s="3191"/>
      <c r="T91" s="3192"/>
      <c r="V91" s="849"/>
      <c r="W91" s="3351"/>
      <c r="X91" s="3352"/>
      <c r="AZ91" s="1968"/>
      <c r="BA91" s="1706">
        <v>91</v>
      </c>
    </row>
    <row r="92" spans="1:53" s="144" customFormat="1" ht="12" customHeight="1" thickTop="1">
      <c r="F92" s="281" t="s">
        <v>184</v>
      </c>
      <c r="G92" s="3340">
        <f>SUM(G88:G91)</f>
        <v>44467</v>
      </c>
      <c r="H92" s="3341"/>
      <c r="J92" s="3340">
        <f>SUM(J88:J91)</f>
        <v>44467</v>
      </c>
      <c r="K92" s="3341"/>
      <c r="L92" s="283"/>
      <c r="M92" s="3340">
        <f>SUM(M88:M91)</f>
        <v>0</v>
      </c>
      <c r="N92" s="3341"/>
      <c r="P92" s="3340">
        <f>SUM(P88:P91)</f>
        <v>0</v>
      </c>
      <c r="Q92" s="3341"/>
      <c r="S92" s="3340">
        <f>SUM(S88:S91)</f>
        <v>0</v>
      </c>
      <c r="T92" s="3341"/>
      <c r="V92" s="851">
        <f>SUM(V88:V91)</f>
        <v>0</v>
      </c>
      <c r="W92" s="3353"/>
      <c r="X92" s="3354"/>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0" t="s">
        <v>259</v>
      </c>
      <c r="K94" s="3361"/>
      <c r="L94" s="280"/>
      <c r="M94" s="3366" t="s">
        <v>460</v>
      </c>
      <c r="N94" s="3367"/>
      <c r="P94" s="3360" t="s">
        <v>260</v>
      </c>
      <c r="Q94" s="3361"/>
      <c r="S94" s="3360" t="s">
        <v>261</v>
      </c>
      <c r="T94" s="3361"/>
      <c r="V94" s="344" t="str">
        <f>B94</f>
        <v>DEVELOPMENT BUDGET  (cont'd)</v>
      </c>
      <c r="AZ94" s="1968"/>
      <c r="BA94" s="1706">
        <v>94</v>
      </c>
    </row>
    <row r="95" spans="1:53" s="144" customFormat="1" ht="18" customHeight="1" thickBot="1">
      <c r="G95" s="3346" t="s">
        <v>95</v>
      </c>
      <c r="H95" s="3347"/>
      <c r="J95" s="3362"/>
      <c r="K95" s="3363"/>
      <c r="L95" s="280"/>
      <c r="M95" s="3368"/>
      <c r="N95" s="3369"/>
      <c r="P95" s="3362"/>
      <c r="Q95" s="3363"/>
      <c r="S95" s="3362"/>
      <c r="T95" s="3363"/>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2">
        <v>9000</v>
      </c>
      <c r="H97" s="3233"/>
      <c r="J97" s="3412"/>
      <c r="K97" s="3412"/>
      <c r="L97" s="828"/>
      <c r="M97" s="3412"/>
      <c r="N97" s="3412"/>
      <c r="P97" s="3412"/>
      <c r="Q97" s="3412"/>
      <c r="S97" s="3232">
        <v>9000</v>
      </c>
      <c r="T97" s="3233"/>
      <c r="V97" s="849"/>
      <c r="W97" s="3344"/>
      <c r="X97" s="3345"/>
      <c r="AZ97" s="1968" t="s">
        <v>6382</v>
      </c>
      <c r="BA97" s="1706">
        <v>97</v>
      </c>
    </row>
    <row r="98" spans="1:53" s="144" customFormat="1" ht="12" customHeight="1">
      <c r="B98" s="144" t="s">
        <v>1199</v>
      </c>
      <c r="G98" s="3243">
        <v>20000</v>
      </c>
      <c r="H98" s="3244"/>
      <c r="J98" s="3412"/>
      <c r="K98" s="3412"/>
      <c r="L98" s="828"/>
      <c r="M98" s="3412"/>
      <c r="N98" s="3412"/>
      <c r="P98" s="3412"/>
      <c r="Q98" s="3412"/>
      <c r="S98" s="3243">
        <v>20000</v>
      </c>
      <c r="T98" s="3244"/>
      <c r="V98" s="849"/>
      <c r="W98" s="3344"/>
      <c r="X98" s="3345"/>
      <c r="AZ98" s="1968"/>
      <c r="BA98" s="1706">
        <v>98</v>
      </c>
    </row>
    <row r="99" spans="1:53" s="144" customFormat="1" ht="12" customHeight="1">
      <c r="B99" s="144" t="s">
        <v>1200</v>
      </c>
      <c r="G99" s="3243">
        <v>16500</v>
      </c>
      <c r="H99" s="3244"/>
      <c r="J99" s="3412"/>
      <c r="K99" s="3412"/>
      <c r="L99" s="828"/>
      <c r="M99" s="3412"/>
      <c r="N99" s="3412"/>
      <c r="P99" s="3412"/>
      <c r="Q99" s="3412"/>
      <c r="S99" s="3243">
        <v>16500</v>
      </c>
      <c r="T99" s="3244"/>
      <c r="V99" s="849"/>
      <c r="W99" s="3344"/>
      <c r="X99" s="3345"/>
      <c r="AZ99" s="1968"/>
      <c r="BA99" s="1706">
        <v>99</v>
      </c>
    </row>
    <row r="100" spans="1:53" s="144" customFormat="1" ht="12" customHeight="1">
      <c r="B100" s="144" t="s">
        <v>1202</v>
      </c>
      <c r="G100" s="3243"/>
      <c r="H100" s="3244"/>
      <c r="J100" s="3412"/>
      <c r="K100" s="3412"/>
      <c r="L100" s="828"/>
      <c r="M100" s="3412"/>
      <c r="N100" s="3412"/>
      <c r="P100" s="3412"/>
      <c r="Q100" s="3412"/>
      <c r="S100" s="3243"/>
      <c r="T100" s="3244"/>
      <c r="V100" s="849"/>
      <c r="W100" s="3344"/>
      <c r="X100" s="3345"/>
      <c r="AZ100" s="1968"/>
      <c r="BA100" s="1706">
        <v>100</v>
      </c>
    </row>
    <row r="101" spans="1:53" s="144" customFormat="1" ht="12" customHeight="1">
      <c r="B101" s="144" t="s">
        <v>2121</v>
      </c>
      <c r="G101" s="3243"/>
      <c r="H101" s="3244"/>
      <c r="J101" s="3412"/>
      <c r="K101" s="3412"/>
      <c r="L101" s="828"/>
      <c r="M101" s="3412"/>
      <c r="N101" s="3412"/>
      <c r="P101" s="3412"/>
      <c r="Q101" s="3412"/>
      <c r="S101" s="3243"/>
      <c r="T101" s="3244"/>
      <c r="V101" s="849"/>
      <c r="W101" s="3344"/>
      <c r="X101" s="3345"/>
      <c r="AZ101" s="1968"/>
      <c r="BA101" s="1706">
        <v>101</v>
      </c>
    </row>
    <row r="102" spans="1:53" s="144" customFormat="1" ht="12" customHeight="1" thickBot="1">
      <c r="A102" s="303" t="str">
        <f>IF(AND(G102&gt;0,OR(C102="",C102="&lt;Enter detailed description here; use Comments section if needed&gt;")),"X","")</f>
        <v/>
      </c>
      <c r="B102" s="147" t="s">
        <v>6279</v>
      </c>
      <c r="C102" s="3379" t="s">
        <v>6721</v>
      </c>
      <c r="D102" s="3379"/>
      <c r="E102" s="3379"/>
      <c r="F102" s="3380"/>
      <c r="G102" s="3191"/>
      <c r="H102" s="3192"/>
      <c r="J102" s="3412"/>
      <c r="K102" s="3412"/>
      <c r="L102" s="828"/>
      <c r="M102" s="3412"/>
      <c r="N102" s="3412"/>
      <c r="P102" s="3412"/>
      <c r="Q102" s="3412"/>
      <c r="S102" s="3191"/>
      <c r="T102" s="3192"/>
      <c r="U102" s="302" t="str">
        <f>IF(AND(G102&gt;0,OR(C102="",C102="&lt;Enter detailed description here; use Comments section if needed&gt;")),"NO DESCRIPTION PROVIDED - please enter detailed description in Other box at left; use Comments section below if needed.","")</f>
        <v/>
      </c>
      <c r="V102" s="849"/>
      <c r="W102" s="3351"/>
      <c r="X102" s="3352"/>
      <c r="AZ102" s="1968"/>
      <c r="BA102" s="1706">
        <v>102</v>
      </c>
    </row>
    <row r="103" spans="1:53" s="144" customFormat="1" ht="12" customHeight="1" thickTop="1">
      <c r="F103" s="281" t="s">
        <v>184</v>
      </c>
      <c r="G103" s="3340">
        <f>SUM(G97:G102)</f>
        <v>45500</v>
      </c>
      <c r="H103" s="3341"/>
      <c r="J103" s="3412"/>
      <c r="K103" s="3412"/>
      <c r="L103" s="283"/>
      <c r="M103" s="3412"/>
      <c r="N103" s="3412"/>
      <c r="P103" s="3412"/>
      <c r="Q103" s="3412"/>
      <c r="S103" s="3340">
        <f>SUM(S97:S102)</f>
        <v>45500</v>
      </c>
      <c r="T103" s="3341"/>
      <c r="V103" s="851">
        <f>SUM(V97:V102)</f>
        <v>0</v>
      </c>
      <c r="W103" s="3353"/>
      <c r="X103" s="3354"/>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2"/>
      <c r="H105" s="3233"/>
      <c r="J105" s="283"/>
      <c r="K105" s="283"/>
      <c r="L105" s="828"/>
      <c r="M105" s="283"/>
      <c r="N105" s="283"/>
      <c r="P105" s="283"/>
      <c r="Q105" s="283"/>
      <c r="S105" s="3232"/>
      <c r="T105" s="3233"/>
      <c r="V105" s="849"/>
      <c r="W105" s="3344"/>
      <c r="X105" s="3345"/>
      <c r="Y105" s="3333"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3">
        <v>10000</v>
      </c>
      <c r="H106" s="3244"/>
      <c r="J106" s="283"/>
      <c r="K106" s="283"/>
      <c r="L106" s="290"/>
      <c r="M106" s="283"/>
      <c r="N106" s="283"/>
      <c r="P106" s="283"/>
      <c r="Q106" s="283"/>
      <c r="S106" s="3243">
        <v>10000</v>
      </c>
      <c r="T106" s="3244"/>
      <c r="V106" s="849"/>
      <c r="W106" s="3344"/>
      <c r="X106" s="3345"/>
      <c r="Y106" s="3333"/>
      <c r="AA106" s="1931" t="s">
        <v>3151</v>
      </c>
      <c r="AB106" s="1931"/>
      <c r="AC106" s="1931"/>
      <c r="AD106" s="1932">
        <f>'Part V-Revenues &amp; Expenses'!$P$67</f>
        <v>44</v>
      </c>
      <c r="AZ106" s="1968" t="s">
        <v>6383</v>
      </c>
      <c r="BA106" s="1706">
        <v>106</v>
      </c>
    </row>
    <row r="107" spans="1:53" s="144" customFormat="1" ht="12.6" customHeight="1">
      <c r="B107" s="144" t="s">
        <v>3318</v>
      </c>
      <c r="G107" s="3243">
        <v>2000</v>
      </c>
      <c r="H107" s="3244"/>
      <c r="J107" s="283"/>
      <c r="K107" s="283"/>
      <c r="L107" s="290"/>
      <c r="M107" s="283"/>
      <c r="N107" s="283"/>
      <c r="P107" s="283"/>
      <c r="Q107" s="283"/>
      <c r="S107" s="3243">
        <v>2000</v>
      </c>
      <c r="T107" s="3244"/>
      <c r="V107" s="849"/>
      <c r="W107" s="3344"/>
      <c r="X107" s="3345"/>
      <c r="Y107" s="3333"/>
      <c r="Z107" s="301"/>
      <c r="AA107" s="225" t="s">
        <v>6708</v>
      </c>
      <c r="AB107" s="147"/>
      <c r="AC107" s="147"/>
      <c r="AD107" s="147"/>
      <c r="AF107" s="1936" t="s">
        <v>6709</v>
      </c>
      <c r="AZ107" s="1968" t="s">
        <v>6384</v>
      </c>
      <c r="BA107" s="1706">
        <v>107</v>
      </c>
    </row>
    <row r="108" spans="1:53" s="144" customFormat="1" ht="12.6" customHeight="1">
      <c r="B108" s="144" t="s">
        <v>486</v>
      </c>
      <c r="E108" s="3413">
        <f>ROUNDUP('DCA Underwriting Assumptions'!$Q$56*J191,0)</f>
        <v>86400</v>
      </c>
      <c r="F108" s="3414"/>
      <c r="G108" s="3243">
        <v>86400</v>
      </c>
      <c r="H108" s="3244"/>
      <c r="J108" s="764" t="str">
        <f>IF(E108&gt;G108,"WARNING!  LIHTC Allocation Fee proposed is below minimum required.","")</f>
        <v/>
      </c>
      <c r="K108" s="283"/>
      <c r="L108" s="828"/>
      <c r="M108" s="283"/>
      <c r="N108" s="283"/>
      <c r="P108" s="283"/>
      <c r="Q108" s="283"/>
      <c r="S108" s="3243">
        <v>86400</v>
      </c>
      <c r="T108" s="3244"/>
      <c r="V108" s="849"/>
      <c r="W108" s="3344"/>
      <c r="X108" s="3345"/>
      <c r="Y108" s="3333"/>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3">
        <f>AF111+AF115</f>
        <v>44000</v>
      </c>
      <c r="F109" s="3414"/>
      <c r="G109" s="3243">
        <v>44000</v>
      </c>
      <c r="H109" s="3244"/>
      <c r="I109" s="3348" t="str">
        <f>IF(E109&gt;G109,"WARNING!  LIHTC Compliance Fee proposed is below minimum required.","")</f>
        <v/>
      </c>
      <c r="J109" s="3349"/>
      <c r="K109" s="3349"/>
      <c r="L109" s="3349"/>
      <c r="M109" s="3349"/>
      <c r="N109" s="3349"/>
      <c r="O109" s="3349"/>
      <c r="P109" s="3349"/>
      <c r="Q109" s="3349"/>
      <c r="R109" s="3350"/>
      <c r="S109" s="3243">
        <v>44000</v>
      </c>
      <c r="T109" s="3244"/>
      <c r="V109" s="849"/>
      <c r="W109" s="3344"/>
      <c r="X109" s="3345"/>
      <c r="Y109" s="3333"/>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3">
        <v>3000</v>
      </c>
      <c r="H110" s="3244"/>
      <c r="I110" s="3348"/>
      <c r="J110" s="3349"/>
      <c r="K110" s="3349"/>
      <c r="L110" s="3349"/>
      <c r="M110" s="3349"/>
      <c r="N110" s="3349"/>
      <c r="O110" s="3349"/>
      <c r="P110" s="3349"/>
      <c r="Q110" s="3349"/>
      <c r="R110" s="3350"/>
      <c r="S110" s="3243">
        <v>3000</v>
      </c>
      <c r="T110" s="3244"/>
      <c r="V110" s="849"/>
      <c r="W110" s="3344"/>
      <c r="X110" s="3345"/>
      <c r="Y110" s="3333"/>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43">
        <v>8000</v>
      </c>
      <c r="H111" s="3244"/>
      <c r="J111" s="145"/>
      <c r="K111" s="145"/>
      <c r="L111" s="145"/>
      <c r="M111" s="145"/>
      <c r="N111" s="145"/>
      <c r="O111" s="145"/>
      <c r="P111" s="145"/>
      <c r="Q111" s="145"/>
      <c r="S111" s="3243">
        <v>8000</v>
      </c>
      <c r="T111" s="3244"/>
      <c r="V111" s="849"/>
      <c r="W111" s="3344"/>
      <c r="X111" s="334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10" t="s">
        <v>6721</v>
      </c>
      <c r="D112" s="3410"/>
      <c r="E112" s="3410"/>
      <c r="F112" s="3411"/>
      <c r="G112" s="3243"/>
      <c r="H112" s="3244"/>
      <c r="J112" s="145"/>
      <c r="K112" s="145"/>
      <c r="L112" s="145"/>
      <c r="M112" s="145"/>
      <c r="N112" s="145"/>
      <c r="O112" s="145"/>
      <c r="P112" s="145"/>
      <c r="Q112" s="145"/>
      <c r="S112" s="3243"/>
      <c r="T112" s="3244"/>
      <c r="U112" s="302" t="str">
        <f>IF(AND(G112&gt;0,OR(C112="",C112="&lt;Enter detailed description here; use Comments section if needed&gt;")),"NO DESCRIPTION PROVIDED - please enter detailed description in Other box at left; use Comments section below if needed.","")</f>
        <v/>
      </c>
      <c r="V112" s="849"/>
      <c r="W112" s="3344"/>
      <c r="X112" s="334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8" t="s">
        <v>6721</v>
      </c>
      <c r="D113" s="3408"/>
      <c r="E113" s="3408"/>
      <c r="F113" s="3409"/>
      <c r="G113" s="3191"/>
      <c r="H113" s="3192"/>
      <c r="J113" s="145"/>
      <c r="K113" s="145"/>
      <c r="L113" s="145"/>
      <c r="M113" s="145"/>
      <c r="N113" s="145"/>
      <c r="O113" s="145"/>
      <c r="P113" s="145"/>
      <c r="Q113" s="145"/>
      <c r="S113" s="3191"/>
      <c r="T113" s="3192"/>
      <c r="U113" s="302" t="str">
        <f>IF(AND(G113&gt;0,OR(C113="",C113="&lt;Enter detailed description here; use Comments section if needed&gt;")),"NO DESCRIPTION PROVIDED - please enter detailed description in Other box at left; use Comments section below if needed.","")</f>
        <v/>
      </c>
      <c r="V113" s="849"/>
      <c r="W113" s="3351"/>
      <c r="X113" s="3352"/>
      <c r="AA113" s="147" t="s">
        <v>36</v>
      </c>
      <c r="AB113" s="147"/>
      <c r="AC113" s="231"/>
      <c r="AD113" s="234">
        <f>'Part V-Revenues &amp; Expenses'!$P$127</f>
        <v>44</v>
      </c>
      <c r="AF113" s="1934">
        <f>IF($AD$105="Income Averaging",AD113*'DCA Underwriting Assumptions'!$Q$61,AD113*'DCA Underwriting Assumptions'!$Q$60)</f>
        <v>44000</v>
      </c>
      <c r="AZ113" s="1968" t="s">
        <v>6386</v>
      </c>
      <c r="BA113" s="1706">
        <v>113</v>
      </c>
    </row>
    <row r="114" spans="1:53" s="144" customFormat="1" ht="12.6" customHeight="1" thickTop="1">
      <c r="F114" s="281" t="s">
        <v>184</v>
      </c>
      <c r="G114" s="3340">
        <f>SUM(G105:G113)</f>
        <v>153400</v>
      </c>
      <c r="H114" s="3341"/>
      <c r="J114" s="283"/>
      <c r="K114" s="283"/>
      <c r="L114" s="828"/>
      <c r="M114" s="283"/>
      <c r="N114" s="283"/>
      <c r="P114" s="283"/>
      <c r="Q114" s="283"/>
      <c r="S114" s="3340">
        <f>SUM(S105:S113)</f>
        <v>153400</v>
      </c>
      <c r="T114" s="3341"/>
      <c r="V114" s="851">
        <f>SUM(V105:V113)</f>
        <v>0</v>
      </c>
      <c r="W114" s="3467"/>
      <c r="X114" s="3468"/>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44</v>
      </c>
      <c r="AF115" s="1935">
        <f>SUM(AF113:AF114)</f>
        <v>44000</v>
      </c>
      <c r="AZ115" s="1959"/>
      <c r="BA115" s="1706">
        <v>115</v>
      </c>
    </row>
    <row r="116" spans="1:53" s="144" customFormat="1" ht="12.6" customHeight="1">
      <c r="B116" s="144" t="s">
        <v>267</v>
      </c>
      <c r="G116" s="3232">
        <v>5000</v>
      </c>
      <c r="H116" s="3233"/>
      <c r="J116" s="3412"/>
      <c r="K116" s="3412"/>
      <c r="L116" s="828"/>
      <c r="M116" s="3412"/>
      <c r="N116" s="3412"/>
      <c r="P116" s="3412"/>
      <c r="Q116" s="3412"/>
      <c r="S116" s="3232">
        <v>5000</v>
      </c>
      <c r="T116" s="3233"/>
      <c r="V116" s="849"/>
      <c r="W116" s="3344"/>
      <c r="X116" s="3345"/>
      <c r="AZ116" s="1959"/>
      <c r="BA116" s="1706">
        <v>116</v>
      </c>
    </row>
    <row r="117" spans="1:53" s="144" customFormat="1" ht="12.6" customHeight="1">
      <c r="B117" s="144" t="s">
        <v>268</v>
      </c>
      <c r="G117" s="3243"/>
      <c r="H117" s="3244"/>
      <c r="J117" s="3412"/>
      <c r="K117" s="3412"/>
      <c r="L117" s="828"/>
      <c r="M117" s="3412"/>
      <c r="N117" s="3412"/>
      <c r="P117" s="3412"/>
      <c r="Q117" s="3412"/>
      <c r="S117" s="3243"/>
      <c r="T117" s="3244"/>
      <c r="V117" s="849"/>
      <c r="W117" s="3344"/>
      <c r="X117" s="3345"/>
      <c r="AZ117" s="1959"/>
      <c r="BA117" s="1706">
        <v>117</v>
      </c>
    </row>
    <row r="118" spans="1:53" s="144" customFormat="1" ht="12.6" customHeight="1">
      <c r="B118" s="144" t="s">
        <v>2200</v>
      </c>
      <c r="G118" s="3243"/>
      <c r="H118" s="3244"/>
      <c r="J118" s="3412"/>
      <c r="K118" s="3412"/>
      <c r="L118" s="828"/>
      <c r="M118" s="3412"/>
      <c r="N118" s="3412"/>
      <c r="P118" s="3412"/>
      <c r="Q118" s="3412"/>
      <c r="S118" s="3243"/>
      <c r="T118" s="3244"/>
      <c r="V118" s="849"/>
      <c r="W118" s="3344"/>
      <c r="X118" s="3345"/>
      <c r="AZ118" s="1959"/>
      <c r="BA118" s="1706">
        <v>118</v>
      </c>
    </row>
    <row r="119" spans="1:53" s="144" customFormat="1" ht="12.6" customHeight="1" thickBot="1">
      <c r="A119" s="303" t="str">
        <f>IF(AND(G119&gt;0,OR(C119="",C119="&lt;Enter detailed description here; use Comments section if needed&gt;")),"X","")</f>
        <v/>
      </c>
      <c r="B119" s="147" t="s">
        <v>6275</v>
      </c>
      <c r="C119" s="3379" t="s">
        <v>6721</v>
      </c>
      <c r="D119" s="3379"/>
      <c r="E119" s="3379"/>
      <c r="F119" s="3380"/>
      <c r="G119" s="3191"/>
      <c r="H119" s="3192"/>
      <c r="J119" s="3412"/>
      <c r="K119" s="3412"/>
      <c r="L119" s="828"/>
      <c r="M119" s="3412"/>
      <c r="N119" s="3412"/>
      <c r="P119" s="3412"/>
      <c r="Q119" s="3412"/>
      <c r="S119" s="3191"/>
      <c r="T119" s="3192"/>
      <c r="U119" s="302" t="str">
        <f>IF(AND(G119&gt;0,OR(C119="",C119="&lt;Enter detailed description here; use Comments section if needed&gt;")),"NO DESCRIPTION PROVIDED - please enter detailed description in Other box at left; use Comments section below if needed.","")</f>
        <v/>
      </c>
      <c r="V119" s="849"/>
      <c r="W119" s="3351"/>
      <c r="X119" s="3352"/>
      <c r="AZ119" s="1959"/>
      <c r="BA119" s="1706">
        <v>119</v>
      </c>
    </row>
    <row r="120" spans="1:53" s="144" customFormat="1" ht="12.6" customHeight="1" thickTop="1">
      <c r="F120" s="281" t="s">
        <v>184</v>
      </c>
      <c r="G120" s="3340">
        <f>SUM(G116:G119)</f>
        <v>5000</v>
      </c>
      <c r="H120" s="3341"/>
      <c r="J120" s="3412"/>
      <c r="K120" s="3412"/>
      <c r="L120" s="828"/>
      <c r="M120" s="3412"/>
      <c r="N120" s="3412"/>
      <c r="P120" s="3412"/>
      <c r="Q120" s="3412"/>
      <c r="S120" s="3340">
        <f>SUM(S116:S119)</f>
        <v>5000</v>
      </c>
      <c r="T120" s="3341"/>
      <c r="V120" s="851">
        <f>SUM(V116:V119)</f>
        <v>0</v>
      </c>
      <c r="W120" s="3353"/>
      <c r="X120" s="3354"/>
      <c r="AC120" s="3364" t="s">
        <v>3922</v>
      </c>
      <c r="AD120" s="3364" t="s">
        <v>3923</v>
      </c>
      <c r="AE120" s="3378" t="s">
        <v>3926</v>
      </c>
      <c r="AF120" s="3370" t="s">
        <v>3924</v>
      </c>
      <c r="AG120" s="3378" t="s">
        <v>3915</v>
      </c>
      <c r="AH120" s="3490" t="s">
        <v>6742</v>
      </c>
      <c r="AI120" s="3490"/>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5"/>
      <c r="AD121" s="3365"/>
      <c r="AE121" s="3172"/>
      <c r="AF121" s="3371"/>
      <c r="AG121" s="3378"/>
      <c r="AH121" s="3490"/>
      <c r="AI121" s="3490"/>
      <c r="AK121" s="44"/>
      <c r="AZ121" s="1959" t="s">
        <v>6388</v>
      </c>
      <c r="BA121" s="1706">
        <v>121</v>
      </c>
    </row>
    <row r="122" spans="1:53" s="144" customFormat="1" ht="12.6" customHeight="1">
      <c r="B122" s="144" t="s">
        <v>1724</v>
      </c>
      <c r="F122" s="323">
        <f>IF($G$127=0,0,G122/$G$127)</f>
        <v>0.5</v>
      </c>
      <c r="G122" s="3415">
        <v>605000</v>
      </c>
      <c r="H122" s="3415"/>
      <c r="J122" s="3416">
        <v>605000</v>
      </c>
      <c r="K122" s="3417"/>
      <c r="L122" s="282"/>
      <c r="M122" s="3416"/>
      <c r="N122" s="3417"/>
      <c r="P122" s="3416"/>
      <c r="Q122" s="3417"/>
      <c r="S122" s="3416"/>
      <c r="T122" s="3417"/>
      <c r="V122" s="849"/>
      <c r="W122" s="3344"/>
      <c r="X122" s="334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1210000</v>
      </c>
      <c r="AF122" s="3372">
        <f>SUM(AE122:AE124)</f>
        <v>1210000</v>
      </c>
      <c r="AG122" s="3499">
        <f>'DCA Underwriting Assumptions'!$Q$74</f>
        <v>2000000</v>
      </c>
      <c r="AH122" s="3491">
        <f>MIN(AF122,AG122)</f>
        <v>1210000</v>
      </c>
      <c r="AI122" s="3492"/>
      <c r="AZ122" s="1959"/>
      <c r="BA122" s="1706">
        <v>122</v>
      </c>
    </row>
    <row r="123" spans="1:53" s="144" customFormat="1" ht="12.6" customHeight="1">
      <c r="B123" s="144" t="s">
        <v>3411</v>
      </c>
      <c r="F123" s="949">
        <v>605000</v>
      </c>
      <c r="G123" s="241" t="s">
        <v>6722</v>
      </c>
      <c r="V123" s="849"/>
      <c r="W123" s="3344"/>
      <c r="X123" s="334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3"/>
      <c r="AG123" s="3500"/>
      <c r="AH123" s="3493"/>
      <c r="AI123" s="3494"/>
      <c r="AZ123" s="1959"/>
      <c r="BA123" s="1706">
        <v>123</v>
      </c>
    </row>
    <row r="124" spans="1:53" s="144" customFormat="1" ht="12.6" customHeight="1">
      <c r="B124" s="144" t="s">
        <v>1725</v>
      </c>
      <c r="F124" s="323">
        <f>IF($G$127=0,0,G124/$G$127)</f>
        <v>0</v>
      </c>
      <c r="G124" s="3232"/>
      <c r="H124" s="3233"/>
      <c r="J124" s="3232"/>
      <c r="K124" s="3233"/>
      <c r="L124" s="828"/>
      <c r="M124" s="3232"/>
      <c r="N124" s="3233"/>
      <c r="P124" s="3232"/>
      <c r="Q124" s="3233"/>
      <c r="S124" s="3232"/>
      <c r="T124" s="3233"/>
      <c r="V124" s="849"/>
      <c r="W124" s="3344"/>
      <c r="X124" s="334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4"/>
      <c r="AG124" s="3501"/>
      <c r="AH124" s="3495"/>
      <c r="AI124" s="3496"/>
      <c r="AZ124" s="1959"/>
      <c r="BA124" s="1706">
        <v>124</v>
      </c>
    </row>
    <row r="125" spans="1:53" s="144" customFormat="1" ht="12.6" customHeight="1">
      <c r="B125" s="144" t="s">
        <v>3163</v>
      </c>
      <c r="F125" s="323">
        <f>IF($G$127=0,0,G125/$G$127)</f>
        <v>0</v>
      </c>
      <c r="G125" s="3243"/>
      <c r="H125" s="3244"/>
      <c r="J125" s="3243"/>
      <c r="K125" s="3244"/>
      <c r="L125" s="828"/>
      <c r="M125" s="3243"/>
      <c r="N125" s="3244"/>
      <c r="P125" s="3243"/>
      <c r="Q125" s="3244"/>
      <c r="S125" s="3243"/>
      <c r="T125" s="3244"/>
      <c r="V125" s="849"/>
      <c r="W125" s="3344"/>
      <c r="X125" s="334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1210000</v>
      </c>
      <c r="AF125" s="3372">
        <f>SUM(AE125:AE127)</f>
        <v>1210000</v>
      </c>
      <c r="AG125" s="3372">
        <f>'DCA Underwriting Assumptions'!$Q$75</f>
        <v>3500000</v>
      </c>
      <c r="AH125" s="3491">
        <f>MIN(AF125,AG125)</f>
        <v>1210000</v>
      </c>
      <c r="AI125" s="3492"/>
      <c r="AZ125" s="1959"/>
      <c r="BA125" s="1706">
        <v>125</v>
      </c>
    </row>
    <row r="126" spans="1:53" s="144" customFormat="1" ht="12.6" customHeight="1" thickBot="1">
      <c r="B126" s="144" t="s">
        <v>1717</v>
      </c>
      <c r="F126" s="323">
        <f>IF($G$127=0,0,G126/$G$127)</f>
        <v>0.5</v>
      </c>
      <c r="G126" s="3191">
        <v>605000</v>
      </c>
      <c r="H126" s="3192"/>
      <c r="J126" s="3191">
        <v>605000</v>
      </c>
      <c r="K126" s="3192"/>
      <c r="L126" s="828"/>
      <c r="M126" s="3191"/>
      <c r="N126" s="3192"/>
      <c r="P126" s="3191"/>
      <c r="Q126" s="3192"/>
      <c r="S126" s="3191"/>
      <c r="T126" s="3192"/>
      <c r="V126" s="849"/>
      <c r="W126" s="3351"/>
      <c r="X126" s="3352"/>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3"/>
      <c r="AG126" s="3373"/>
      <c r="AH126" s="3493"/>
      <c r="AI126" s="3494"/>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1210000</v>
      </c>
      <c r="F127" s="281" t="s">
        <v>184</v>
      </c>
      <c r="G127" s="3340">
        <f>SUM(G122:G126)</f>
        <v>1210000</v>
      </c>
      <c r="H127" s="3418"/>
      <c r="J127" s="3340">
        <f>SUM(J122:J126)</f>
        <v>1210000</v>
      </c>
      <c r="K127" s="3418"/>
      <c r="L127" s="828"/>
      <c r="M127" s="3340">
        <f>SUM(M122:M126)</f>
        <v>0</v>
      </c>
      <c r="N127" s="3418"/>
      <c r="P127" s="3340">
        <f>SUM(P122:P126)</f>
        <v>0</v>
      </c>
      <c r="Q127" s="3418"/>
      <c r="S127" s="3340">
        <f>SUM(S122:S126)</f>
        <v>0</v>
      </c>
      <c r="T127" s="3418"/>
      <c r="V127" s="851">
        <f>SUM(V122:V126)</f>
        <v>0</v>
      </c>
      <c r="W127" s="3353"/>
      <c r="X127" s="3354"/>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4"/>
      <c r="AG127" s="3374"/>
      <c r="AH127" s="3495"/>
      <c r="AI127" s="3496"/>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2">
        <v>25000</v>
      </c>
      <c r="H129" s="3233"/>
      <c r="J129" s="291"/>
      <c r="K129" s="291"/>
      <c r="L129" s="291"/>
      <c r="M129" s="291"/>
      <c r="N129" s="291"/>
      <c r="P129" s="291"/>
      <c r="Q129" s="291"/>
      <c r="S129" s="3232">
        <v>25000</v>
      </c>
      <c r="T129" s="3233"/>
      <c r="V129" s="849"/>
      <c r="W129" s="3344"/>
      <c r="X129" s="334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54271.5</v>
      </c>
      <c r="G130" s="3243">
        <v>54272</v>
      </c>
      <c r="H130" s="3244"/>
      <c r="J130" s="765" t="str">
        <f>IF(E130&gt;G130,"WARNING! Rent-Up Reserves proposed is below minimum - add comment.","")</f>
        <v/>
      </c>
      <c r="K130" s="765"/>
      <c r="L130" s="828"/>
      <c r="M130" s="750"/>
      <c r="N130" s="750"/>
      <c r="P130" s="750"/>
      <c r="Q130" s="750"/>
      <c r="S130" s="3243">
        <v>54272</v>
      </c>
      <c r="T130" s="3244"/>
      <c r="V130" s="849"/>
      <c r="W130" s="3344"/>
      <c r="X130" s="334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136042.25812482729</v>
      </c>
      <c r="G131" s="3243">
        <v>136042</v>
      </c>
      <c r="H131" s="3244"/>
      <c r="J131" s="765" t="str">
        <f>IF(E131&gt;G131,"WARNING! ODR proposed is below minimum - add comment.","")</f>
        <v/>
      </c>
      <c r="K131" s="290"/>
      <c r="L131" s="290"/>
      <c r="M131" s="290"/>
      <c r="N131" s="290"/>
      <c r="P131" s="290"/>
      <c r="Q131" s="290"/>
      <c r="S131" s="3243">
        <v>136042</v>
      </c>
      <c r="T131" s="3244"/>
      <c r="V131" s="849"/>
      <c r="W131" s="3344"/>
      <c r="X131" s="3345"/>
      <c r="Y131"/>
      <c r="Z131" s="1307"/>
      <c r="AB131" s="236"/>
      <c r="AD131"/>
      <c r="AG131"/>
      <c r="AH131"/>
      <c r="AI131"/>
      <c r="AZ131" s="1968"/>
      <c r="BA131" s="1706">
        <v>131</v>
      </c>
    </row>
    <row r="132" spans="1:53" s="144" customFormat="1" ht="12.6" customHeight="1">
      <c r="B132" s="144" t="s">
        <v>1170</v>
      </c>
      <c r="G132" s="3243"/>
      <c r="H132" s="3244"/>
      <c r="J132" s="291"/>
      <c r="K132" s="291"/>
      <c r="L132" s="291"/>
      <c r="M132" s="291"/>
      <c r="N132" s="291"/>
      <c r="P132" s="291"/>
      <c r="Q132" s="291"/>
      <c r="S132" s="3243"/>
      <c r="T132" s="3244"/>
      <c r="V132" s="849"/>
      <c r="W132" s="3344"/>
      <c r="X132" s="3345"/>
      <c r="AZ132" s="1968" t="s">
        <v>6391</v>
      </c>
      <c r="BA132" s="1706">
        <v>132</v>
      </c>
    </row>
    <row r="133" spans="1:53" s="144" customFormat="1" ht="12.6" customHeight="1">
      <c r="B133" s="144" t="s">
        <v>1171</v>
      </c>
      <c r="E133" s="658" t="s">
        <v>3137</v>
      </c>
      <c r="F133" s="365">
        <f>IF('Part V-Revenues &amp; Expenses'!$P$67=0,0,G133/'Part V-Revenues &amp; Expenses'!$P$67)</f>
        <v>1250</v>
      </c>
      <c r="G133" s="3243">
        <v>55000</v>
      </c>
      <c r="H133" s="3244"/>
      <c r="J133" s="3232">
        <v>55000</v>
      </c>
      <c r="K133" s="3233"/>
      <c r="L133" s="828"/>
      <c r="M133" s="3232"/>
      <c r="N133" s="3233"/>
      <c r="P133" s="3232"/>
      <c r="Q133" s="3233"/>
      <c r="S133" s="3243"/>
      <c r="T133" s="3244"/>
      <c r="V133" s="849"/>
      <c r="W133" s="3344"/>
      <c r="X133" s="3345"/>
      <c r="AZ133" s="1968" t="s">
        <v>6392</v>
      </c>
      <c r="BA133" s="1706">
        <v>133</v>
      </c>
    </row>
    <row r="134" spans="1:53" s="144" customFormat="1" ht="12.6" customHeight="1" thickBot="1">
      <c r="A134" s="303" t="str">
        <f>IF(AND(G134&gt;0,OR(C134="",C134="&lt;Enter detailed description here; use Comments section if needed&gt;")),"X","")</f>
        <v/>
      </c>
      <c r="B134" s="147" t="s">
        <v>6275</v>
      </c>
      <c r="C134" s="3379" t="s">
        <v>6721</v>
      </c>
      <c r="D134" s="3379"/>
      <c r="E134" s="3379"/>
      <c r="F134" s="3380"/>
      <c r="G134" s="3191"/>
      <c r="H134" s="3192"/>
      <c r="J134" s="3342"/>
      <c r="K134" s="3343"/>
      <c r="L134" s="828"/>
      <c r="M134" s="3191"/>
      <c r="N134" s="3192"/>
      <c r="P134" s="3191"/>
      <c r="Q134" s="3192"/>
      <c r="S134" s="3191"/>
      <c r="T134" s="3192"/>
      <c r="U134" s="302" t="str">
        <f>IF(AND(G134&gt;0,OR(C134="",C134="&lt;Enter detailed description here; use Comments section if needed&gt;")),"NO DESCRIPTION PROVIDED - please enter detailed description in Other box at left; use Comments section below if needed.","")</f>
        <v/>
      </c>
      <c r="V134" s="849"/>
      <c r="W134" s="3351"/>
      <c r="X134" s="3352"/>
      <c r="AZ134" s="1968"/>
      <c r="BA134" s="1706">
        <v>134</v>
      </c>
    </row>
    <row r="135" spans="1:53" s="144" customFormat="1" ht="12.6" customHeight="1" thickTop="1">
      <c r="B135" s="292"/>
      <c r="F135" s="281" t="s">
        <v>184</v>
      </c>
      <c r="G135" s="3340">
        <f>SUM(G129:G134)</f>
        <v>270314</v>
      </c>
      <c r="H135" s="3341"/>
      <c r="J135" s="3340">
        <f>SUM(J133:J134)</f>
        <v>55000</v>
      </c>
      <c r="K135" s="3341"/>
      <c r="L135" s="828"/>
      <c r="M135" s="3340">
        <f>SUM(M133:M134)</f>
        <v>0</v>
      </c>
      <c r="N135" s="3341"/>
      <c r="P135" s="3340">
        <f>SUM(P133:P134)</f>
        <v>0</v>
      </c>
      <c r="Q135" s="3341"/>
      <c r="S135" s="3340">
        <f>SUM(S129:S134)</f>
        <v>215314</v>
      </c>
      <c r="T135" s="3341"/>
      <c r="V135" s="851">
        <f>SUM(V129:V134)</f>
        <v>0</v>
      </c>
      <c r="W135" s="3353"/>
      <c r="X135" s="3354"/>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0" t="s">
        <v>259</v>
      </c>
      <c r="K139" s="3361"/>
      <c r="L139" s="280"/>
      <c r="M139" s="3366" t="s">
        <v>460</v>
      </c>
      <c r="N139" s="3367"/>
      <c r="P139" s="3360" t="s">
        <v>260</v>
      </c>
      <c r="Q139" s="3361"/>
      <c r="S139" s="3360" t="s">
        <v>261</v>
      </c>
      <c r="T139" s="3361"/>
      <c r="V139" s="344" t="str">
        <f>B139</f>
        <v>DEVELOPMENT BUDGET  (cont'd)</v>
      </c>
      <c r="AZ139" s="1968"/>
      <c r="BA139" s="1706">
        <v>139</v>
      </c>
    </row>
    <row r="140" spans="1:53" s="144" customFormat="1" ht="18" customHeight="1" thickBot="1">
      <c r="G140" s="3346" t="s">
        <v>95</v>
      </c>
      <c r="H140" s="3347"/>
      <c r="J140" s="3362"/>
      <c r="K140" s="3363"/>
      <c r="L140" s="280"/>
      <c r="M140" s="3368"/>
      <c r="N140" s="3369"/>
      <c r="P140" s="3362"/>
      <c r="Q140" s="3363"/>
      <c r="S140" s="3362"/>
      <c r="T140" s="3363"/>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2"/>
      <c r="H142" s="3233"/>
      <c r="J142" s="3232"/>
      <c r="K142" s="3233"/>
      <c r="L142" s="282"/>
      <c r="M142" s="3232"/>
      <c r="N142" s="3233"/>
      <c r="P142" s="3232"/>
      <c r="Q142" s="3233"/>
      <c r="S142" s="3232"/>
      <c r="T142" s="3233"/>
      <c r="V142" s="849"/>
      <c r="W142" s="3344"/>
      <c r="X142" s="3345"/>
      <c r="AZ142" s="1968"/>
      <c r="BA142" s="1706">
        <v>142</v>
      </c>
    </row>
    <row r="143" spans="1:53" s="144" customFormat="1" ht="12.6" customHeight="1" thickBot="1">
      <c r="A143" s="303" t="str">
        <f>IF(AND(G143&gt;0,OR(C143="",C143="&lt;Enter detailed description here; use Comments section if needed&gt;")),"X","")</f>
        <v/>
      </c>
      <c r="B143" s="147" t="s">
        <v>6275</v>
      </c>
      <c r="C143" s="3379" t="s">
        <v>6721</v>
      </c>
      <c r="D143" s="3379"/>
      <c r="E143" s="3379"/>
      <c r="F143" s="3380"/>
      <c r="G143" s="3191"/>
      <c r="H143" s="3192"/>
      <c r="J143" s="3191"/>
      <c r="K143" s="3192"/>
      <c r="L143" s="828"/>
      <c r="M143" s="3191"/>
      <c r="N143" s="3192"/>
      <c r="P143" s="3191"/>
      <c r="Q143" s="3192"/>
      <c r="S143" s="3191"/>
      <c r="T143" s="3192"/>
      <c r="U143" s="302" t="str">
        <f>IF(AND(G143&gt;0,OR(C143="",C143="&lt;Enter detailed description here; use Comments section if needed&gt;")),"NO DESCRIPTION PROVIDED - please enter detailed description in Other box at left; use Comments section below if needed.","")</f>
        <v/>
      </c>
      <c r="V143" s="849"/>
      <c r="W143" s="3351"/>
      <c r="X143" s="3352"/>
      <c r="AZ143" s="1968"/>
      <c r="BA143" s="1706">
        <v>143</v>
      </c>
    </row>
    <row r="144" spans="1:53" s="144" customFormat="1" ht="12.6" customHeight="1" thickTop="1">
      <c r="C144" s="246"/>
      <c r="F144" s="281" t="s">
        <v>184</v>
      </c>
      <c r="G144" s="3340">
        <f>SUM(G142:G143)</f>
        <v>0</v>
      </c>
      <c r="H144" s="3341"/>
      <c r="J144" s="3340">
        <f>SUM(J142:J143)</f>
        <v>0</v>
      </c>
      <c r="K144" s="3341"/>
      <c r="L144" s="828"/>
      <c r="M144" s="3340">
        <f>SUM(M142:M143)</f>
        <v>0</v>
      </c>
      <c r="N144" s="3341"/>
      <c r="P144" s="3340">
        <f>SUM(P142:P143)</f>
        <v>0</v>
      </c>
      <c r="Q144" s="3341"/>
      <c r="S144" s="3340">
        <f>SUM(S142:S143)</f>
        <v>0</v>
      </c>
      <c r="T144" s="3341"/>
      <c r="V144" s="851">
        <f>SUM(V142:V143)</f>
        <v>0</v>
      </c>
      <c r="W144" s="3353"/>
      <c r="X144" s="3354"/>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8">
        <f>G18+G24+G28+G36+G41+G46+G55+G73+G86+G92+G103+G114+G120+G127+G135+G144</f>
        <v>14641816.182497175</v>
      </c>
      <c r="H146" s="3489"/>
      <c r="J146" s="3488">
        <f>J18+J24+J28+J36+J41+J46+J55+J73+J86+J92+J103+J114+J120+J127+J135+J144</f>
        <v>13378393.182497175</v>
      </c>
      <c r="K146" s="3489"/>
      <c r="M146" s="3488">
        <f>M18+M24+M28+M36+M41+M46+M55+M73+M86+M92+M103+M114+M120+M127+M135+M144</f>
        <v>0</v>
      </c>
      <c r="N146" s="3489"/>
      <c r="P146" s="3488">
        <f>P18+P24+P28+P36+P41+P46+P55+P73+P86+P92+P103+P114+P120+P127+P135+P144</f>
        <v>0</v>
      </c>
      <c r="Q146" s="3489"/>
      <c r="S146" s="3488">
        <f>S18+S24+S28+S36+S41+S46+S55+S73+S86+S92+S103+S114+S120+S127+S135+S144</f>
        <v>1263423</v>
      </c>
      <c r="T146" s="3489"/>
      <c r="V146" s="855">
        <f>V18+V24+V28+V36+V41+V46+V55+V73+V86+V92+V103+V114+V120+V127+V135+V144</f>
        <v>0</v>
      </c>
      <c r="W146" s="3469"/>
      <c r="X146" s="3354"/>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5">
        <f>IF('Part V-Revenues &amp; Expenses'!$P$67=0,0,G146/'Part V-Revenues &amp; Expenses'!$P$67)</f>
        <v>332768.54960220854</v>
      </c>
      <c r="E148" s="3485"/>
      <c r="F148" s="390" t="s">
        <v>2487</v>
      </c>
      <c r="G148" s="3486">
        <f>IF('Part V-Revenues &amp; Expenses'!$K$175=0,0,G146/'Part V-Revenues &amp; Expenses'!$K$175)</f>
        <v>316.00587435786196</v>
      </c>
      <c r="H148" s="34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0" t="s">
        <v>259</v>
      </c>
      <c r="K150" s="3361"/>
      <c r="M150" s="3360" t="s">
        <v>94</v>
      </c>
      <c r="N150" s="3361"/>
      <c r="P150" s="3360" t="s">
        <v>260</v>
      </c>
      <c r="Q150" s="3361"/>
      <c r="V150" s="852"/>
      <c r="W150" s="344" t="str">
        <f>B150</f>
        <v>TAX CREDIT CALCULATION - BASIS METHOD</v>
      </c>
      <c r="AZ150" s="1968"/>
      <c r="BA150" s="1706">
        <v>150</v>
      </c>
    </row>
    <row r="151" spans="1:53" s="144" customFormat="1" ht="15" customHeight="1" thickBot="1">
      <c r="B151" s="222" t="s">
        <v>1894</v>
      </c>
      <c r="D151" s="828"/>
      <c r="E151" s="828"/>
      <c r="I151" s="295"/>
      <c r="J151" s="3362"/>
      <c r="K151" s="3363"/>
      <c r="L151" s="375"/>
      <c r="M151" s="3362"/>
      <c r="N151" s="3363"/>
      <c r="P151" s="3362"/>
      <c r="Q151" s="3363"/>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2"/>
      <c r="K153" s="3503"/>
      <c r="P153" s="3502"/>
      <c r="Q153" s="3503"/>
      <c r="V153" s="849"/>
      <c r="W153" s="3344"/>
      <c r="X153" s="3345"/>
      <c r="AZ153" s="1968"/>
      <c r="BA153" s="1706">
        <v>153</v>
      </c>
    </row>
    <row r="154" spans="1:53" s="144" customFormat="1" ht="14.1" customHeight="1">
      <c r="B154" s="144" t="s">
        <v>1998</v>
      </c>
      <c r="I154" s="295"/>
      <c r="J154" s="3504"/>
      <c r="K154" s="3505"/>
      <c r="P154" s="3504"/>
      <c r="Q154" s="3505"/>
      <c r="V154" s="849"/>
      <c r="W154" s="3344"/>
      <c r="X154" s="3345"/>
      <c r="AZ154" s="1968"/>
      <c r="BA154" s="1706">
        <v>154</v>
      </c>
    </row>
    <row r="155" spans="1:53" s="144" customFormat="1" ht="14.1" customHeight="1">
      <c r="B155" s="144" t="s">
        <v>1727</v>
      </c>
      <c r="I155" s="295"/>
      <c r="J155" s="3504"/>
      <c r="K155" s="3505"/>
      <c r="P155" s="3504"/>
      <c r="Q155" s="3505"/>
      <c r="V155" s="849"/>
      <c r="W155" s="3344"/>
      <c r="X155" s="3345"/>
      <c r="AZ155" s="1968"/>
      <c r="BA155" s="1706">
        <v>155</v>
      </c>
    </row>
    <row r="156" spans="1:53" s="144" customFormat="1" ht="14.1" customHeight="1">
      <c r="B156" s="144" t="s">
        <v>1728</v>
      </c>
      <c r="I156" s="295"/>
      <c r="J156" s="3504"/>
      <c r="K156" s="3505"/>
      <c r="P156" s="3504"/>
      <c r="Q156" s="3505"/>
      <c r="V156" s="849"/>
      <c r="W156" s="3344"/>
      <c r="X156" s="3345"/>
      <c r="AZ156" s="1968"/>
      <c r="BA156" s="1706">
        <v>156</v>
      </c>
    </row>
    <row r="157" spans="1:53" s="144" customFormat="1" ht="14.1" customHeight="1">
      <c r="B157" s="144" t="s">
        <v>243</v>
      </c>
      <c r="I157" s="295"/>
      <c r="J157" s="3504"/>
      <c r="K157" s="3505"/>
      <c r="P157" s="3504"/>
      <c r="Q157" s="3505"/>
      <c r="V157" s="849"/>
      <c r="W157" s="3344"/>
      <c r="X157" s="3345"/>
      <c r="AZ157" s="1968"/>
      <c r="BA157" s="1706">
        <v>157</v>
      </c>
    </row>
    <row r="158" spans="1:53" s="144" customFormat="1" ht="14.1" customHeight="1" thickBot="1">
      <c r="B158" s="144" t="s">
        <v>1496</v>
      </c>
      <c r="C158" s="3497" t="s">
        <v>2224</v>
      </c>
      <c r="D158" s="3497"/>
      <c r="E158" s="3497"/>
      <c r="F158" s="3497"/>
      <c r="G158" s="3497"/>
      <c r="H158" s="3497"/>
      <c r="I158" s="3498"/>
      <c r="J158" s="3419"/>
      <c r="K158" s="3420"/>
      <c r="P158" s="3419"/>
      <c r="Q158" s="3420"/>
      <c r="V158" s="849"/>
      <c r="W158" s="3351"/>
      <c r="X158" s="3352"/>
      <c r="AZ158" s="1968"/>
      <c r="BA158" s="1706">
        <v>158</v>
      </c>
    </row>
    <row r="159" spans="1:53" s="144" customFormat="1" ht="14.1" customHeight="1" thickBot="1">
      <c r="B159" s="243" t="s">
        <v>1729</v>
      </c>
      <c r="C159" s="250"/>
      <c r="J159" s="3316">
        <f>SUM(J153:K158)</f>
        <v>0</v>
      </c>
      <c r="K159" s="3317"/>
      <c r="P159" s="3316">
        <f>SUM(P153:Q158)</f>
        <v>0</v>
      </c>
      <c r="Q159" s="3317"/>
      <c r="V159" s="851">
        <f>SUM(V153:V158)</f>
        <v>0</v>
      </c>
      <c r="W159" s="3353"/>
      <c r="X159" s="3354"/>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6">
        <f>J146</f>
        <v>13378393.182497175</v>
      </c>
      <c r="K162" s="3337"/>
      <c r="M162" s="3338">
        <f>M146</f>
        <v>0</v>
      </c>
      <c r="N162" s="3339"/>
      <c r="P162" s="3336">
        <f>P146</f>
        <v>0</v>
      </c>
      <c r="Q162" s="3337"/>
      <c r="R162" s="3471" t="s">
        <v>3773</v>
      </c>
      <c r="S162" s="3437"/>
      <c r="T162" s="3437"/>
      <c r="V162" s="849"/>
      <c r="W162" s="3344"/>
      <c r="X162" s="3345"/>
      <c r="AZ162" s="1968"/>
      <c r="BA162" s="1706">
        <v>162</v>
      </c>
    </row>
    <row r="163" spans="1:53" s="144" customFormat="1" ht="14.1" customHeight="1">
      <c r="B163" s="144" t="s">
        <v>2052</v>
      </c>
      <c r="J163" s="3357">
        <f>J159</f>
        <v>0</v>
      </c>
      <c r="K163" s="3358"/>
      <c r="M163" s="3359"/>
      <c r="N163" s="3359"/>
      <c r="P163" s="3357">
        <f>P159</f>
        <v>0</v>
      </c>
      <c r="Q163" s="3358"/>
      <c r="R163" s="3471"/>
      <c r="S163" s="3437"/>
      <c r="T163" s="3437"/>
      <c r="U163" s="1169"/>
      <c r="V163" s="849"/>
      <c r="W163" s="3344"/>
      <c r="X163" s="3345"/>
      <c r="AZ163" s="1968"/>
      <c r="BA163" s="1706">
        <v>163</v>
      </c>
    </row>
    <row r="164" spans="1:53" s="144" customFormat="1" ht="14.1" customHeight="1">
      <c r="B164" s="144" t="s">
        <v>2053</v>
      </c>
      <c r="J164" s="3357">
        <f>J162-J163</f>
        <v>13378393.182497175</v>
      </c>
      <c r="K164" s="3358"/>
      <c r="M164" s="3355">
        <f>M162</f>
        <v>0</v>
      </c>
      <c r="N164" s="3356"/>
      <c r="P164" s="3357">
        <f>P162-P163</f>
        <v>0</v>
      </c>
      <c r="Q164" s="3358"/>
      <c r="R164" s="3471"/>
      <c r="S164" s="3437"/>
      <c r="T164" s="3437"/>
      <c r="U164" s="1169"/>
      <c r="V164" s="849"/>
      <c r="W164" s="3344"/>
      <c r="X164" s="3345"/>
      <c r="AZ164" s="1968"/>
      <c r="BA164" s="1706">
        <v>164</v>
      </c>
    </row>
    <row r="165" spans="1:53" s="144" customFormat="1" ht="14.1" customHeight="1">
      <c r="B165" s="144" t="s">
        <v>1390</v>
      </c>
      <c r="G165" s="248" t="s">
        <v>1593</v>
      </c>
      <c r="H165" s="3421" t="s">
        <v>7046</v>
      </c>
      <c r="I165" s="3422"/>
      <c r="J165" s="3423">
        <v>1.3</v>
      </c>
      <c r="K165" s="3424"/>
      <c r="M165" s="3425"/>
      <c r="N165" s="3425"/>
      <c r="P165" s="3423"/>
      <c r="Q165" s="3424"/>
      <c r="R165" s="3472" t="s">
        <v>3204</v>
      </c>
      <c r="S165" s="3473"/>
      <c r="T165" s="3474"/>
      <c r="U165" s="1170"/>
      <c r="V165" s="849"/>
      <c r="W165" s="3344"/>
      <c r="X165" s="3345"/>
      <c r="AZ165" s="1968"/>
      <c r="BA165" s="1706">
        <v>165</v>
      </c>
    </row>
    <row r="166" spans="1:53" s="144" customFormat="1" ht="14.1" customHeight="1">
      <c r="B166" s="144" t="s">
        <v>1903</v>
      </c>
      <c r="J166" s="3357">
        <f>J164*J165</f>
        <v>17391911.137246329</v>
      </c>
      <c r="K166" s="3358"/>
      <c r="M166" s="3336">
        <f>+M164</f>
        <v>0</v>
      </c>
      <c r="N166" s="3337"/>
      <c r="P166" s="3357">
        <f>P164*P165</f>
        <v>0</v>
      </c>
      <c r="Q166" s="3358"/>
      <c r="R166" s="3475"/>
      <c r="S166" s="3476"/>
      <c r="T166" s="3477"/>
      <c r="U166" s="1170"/>
      <c r="V166" s="849"/>
      <c r="W166" s="3344"/>
      <c r="X166" s="3345"/>
      <c r="AZ166" s="1968"/>
      <c r="BA166" s="1706">
        <v>166</v>
      </c>
    </row>
    <row r="167" spans="1:53" s="144" customFormat="1" ht="14.1" customHeight="1">
      <c r="B167" s="144" t="s">
        <v>2339</v>
      </c>
      <c r="J167" s="3426">
        <f>MIN('Part V-Revenues &amp; Expenses'!$P$63/'Part V-Revenues &amp; Expenses'!$P$65,'Part V-Revenues &amp; Expenses'!$P$164/'Part V-Revenues &amp; Expenses'!$P$166)</f>
        <v>1</v>
      </c>
      <c r="K167" s="3427"/>
      <c r="M167" s="3426">
        <f>MIN('Part V-Revenues &amp; Expenses'!$P$63/'Part V-Revenues &amp; Expenses'!$P$65,'Part V-Revenues &amp; Expenses'!$P$164/'Part V-Revenues &amp; Expenses'!$P$166)</f>
        <v>1</v>
      </c>
      <c r="N167" s="3427"/>
      <c r="P167" s="3426">
        <f>MIN('Part V-Revenues &amp; Expenses'!$P$63/'Part V-Revenues &amp; Expenses'!$P$65,'Part V-Revenues &amp; Expenses'!$P$164/'Part V-Revenues &amp; Expenses'!$P$166)</f>
        <v>1</v>
      </c>
      <c r="Q167" s="3427"/>
      <c r="R167" s="3478"/>
      <c r="S167" s="3479"/>
      <c r="T167" s="3480"/>
      <c r="V167" s="849"/>
      <c r="W167" s="3344"/>
      <c r="X167" s="3345"/>
      <c r="AZ167" s="1968"/>
      <c r="BA167" s="1706">
        <v>167</v>
      </c>
    </row>
    <row r="168" spans="1:53" s="144" customFormat="1" ht="14.1" customHeight="1">
      <c r="B168" s="144" t="s">
        <v>1895</v>
      </c>
      <c r="J168" s="3357">
        <f>J166*J167</f>
        <v>17391911.137246329</v>
      </c>
      <c r="K168" s="3358"/>
      <c r="M168" s="3357">
        <f>M166*M167</f>
        <v>0</v>
      </c>
      <c r="N168" s="3358"/>
      <c r="P168" s="3357">
        <f>P166*P167</f>
        <v>0</v>
      </c>
      <c r="Q168" s="3358"/>
      <c r="V168" s="849"/>
      <c r="W168" s="3344"/>
      <c r="X168" s="3345"/>
      <c r="AZ168" s="1968"/>
      <c r="BA168" s="1706">
        <v>168</v>
      </c>
    </row>
    <row r="169" spans="1:53" s="144" customFormat="1" ht="14.1" customHeight="1">
      <c r="B169" s="144" t="s">
        <v>1896</v>
      </c>
      <c r="J169" s="3423">
        <v>0.09</v>
      </c>
      <c r="K169" s="3424"/>
      <c r="M169" s="3423"/>
      <c r="N169" s="3424"/>
      <c r="P169" s="3423"/>
      <c r="Q169" s="3424"/>
      <c r="V169" s="849"/>
      <c r="W169" s="3344"/>
      <c r="X169" s="3345"/>
      <c r="AZ169" s="1968"/>
      <c r="BA169" s="1706">
        <v>169</v>
      </c>
    </row>
    <row r="170" spans="1:53" s="144" customFormat="1" ht="14.1" customHeight="1" thickBot="1">
      <c r="B170" s="144" t="s">
        <v>2340</v>
      </c>
      <c r="J170" s="3428">
        <f>J168*J169</f>
        <v>1565272.0023521695</v>
      </c>
      <c r="K170" s="3429"/>
      <c r="M170" s="3428">
        <f>M168*M169</f>
        <v>0</v>
      </c>
      <c r="N170" s="3429"/>
      <c r="P170" s="3428">
        <f>P168*P169</f>
        <v>0</v>
      </c>
      <c r="Q170" s="3429"/>
      <c r="V170" s="856"/>
      <c r="W170" s="3351"/>
      <c r="X170" s="3352"/>
      <c r="AZ170" s="1968"/>
      <c r="BA170" s="1706">
        <v>170</v>
      </c>
    </row>
    <row r="171" spans="1:53" s="144" customFormat="1" ht="14.1" customHeight="1" thickBot="1">
      <c r="B171" s="243" t="s">
        <v>1339</v>
      </c>
      <c r="J171" s="3316">
        <f>ROUNDDOWN(J170+M170+P170,0)</f>
        <v>1565272</v>
      </c>
      <c r="K171" s="3430"/>
      <c r="L171" s="3430"/>
      <c r="M171" s="3430"/>
      <c r="N171" s="3430"/>
      <c r="O171" s="3430"/>
      <c r="P171" s="3430"/>
      <c r="Q171" s="3317"/>
      <c r="V171" s="851"/>
      <c r="W171" s="3467"/>
      <c r="X171" s="346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31"/>
      <c r="P174" s="3431"/>
      <c r="Q174" s="3431"/>
      <c r="R174" s="3431"/>
      <c r="S174" s="3431"/>
      <c r="T174" s="3431"/>
      <c r="U174" s="3431"/>
      <c r="V174" s="343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6">
        <f>G146</f>
        <v>14641816.182497175</v>
      </c>
      <c r="K176" s="3454"/>
      <c r="L176" s="3337"/>
      <c r="N176" s="3433" t="s">
        <v>6716</v>
      </c>
      <c r="O176" s="3434"/>
      <c r="P176" s="3434"/>
      <c r="Q176" s="3435"/>
      <c r="S176" s="3450" t="s">
        <v>3187</v>
      </c>
      <c r="T176" s="3451"/>
      <c r="V176" s="849"/>
      <c r="W176" s="3344"/>
      <c r="X176" s="3345"/>
      <c r="AZ176" s="1968"/>
      <c r="BA176" s="1706">
        <v>176</v>
      </c>
    </row>
    <row r="177" spans="1:53" s="144" customFormat="1" ht="14.1" customHeight="1">
      <c r="B177" s="144" t="s">
        <v>252</v>
      </c>
      <c r="J177" s="3357">
        <f>'Part II-Sources of Funds'!$I$60-'Part II-Sources of Funds'!$I$44-'Part II-Sources of Funds'!$I$45-'Part II-Sources of Funds'!$I$51-'Part II-Sources of Funds'!$I$52</f>
        <v>900000</v>
      </c>
      <c r="K177" s="3455"/>
      <c r="L177" s="3358"/>
      <c r="M177" s="1970"/>
      <c r="N177" s="3436"/>
      <c r="O177" s="3437"/>
      <c r="P177" s="3437"/>
      <c r="Q177" s="3438"/>
      <c r="S177" s="3452"/>
      <c r="T177" s="3453"/>
      <c r="V177" s="849"/>
      <c r="W177" s="3344"/>
      <c r="X177" s="3345"/>
      <c r="AZ177" s="1968"/>
      <c r="BA177" s="1706">
        <v>177</v>
      </c>
    </row>
    <row r="178" spans="1:53" s="144" customFormat="1" ht="14.1" customHeight="1">
      <c r="B178" s="144" t="s">
        <v>2064</v>
      </c>
      <c r="J178" s="3456">
        <f>+J176-J177</f>
        <v>13741816.182497175</v>
      </c>
      <c r="K178" s="3457"/>
      <c r="L178" s="3458"/>
      <c r="M178" s="1970"/>
      <c r="N178" s="3439"/>
      <c r="O178" s="3440"/>
      <c r="P178" s="3440"/>
      <c r="Q178" s="3441"/>
      <c r="S178" s="3452"/>
      <c r="T178" s="3453"/>
      <c r="V178" s="849"/>
      <c r="W178" s="3344"/>
      <c r="X178" s="3345"/>
      <c r="AZ178" s="1968"/>
      <c r="BA178" s="1706">
        <v>178</v>
      </c>
    </row>
    <row r="179" spans="1:53" s="144" customFormat="1" ht="14.1" customHeight="1" thickBot="1">
      <c r="B179" s="144" t="s">
        <v>1209</v>
      </c>
      <c r="J179" s="3303" t="str">
        <f>"/ 10"</f>
        <v>/ 10</v>
      </c>
      <c r="K179" s="3303"/>
      <c r="L179" s="3303"/>
      <c r="M179" s="223"/>
      <c r="N179" s="3459">
        <f>'Part II-Sources of Funds'!$I$44</f>
        <v>0</v>
      </c>
      <c r="O179" s="3460"/>
      <c r="P179" s="3460"/>
      <c r="Q179" s="3461"/>
      <c r="S179" s="329" t="s">
        <v>1548</v>
      </c>
      <c r="T179" s="330"/>
      <c r="V179" s="849"/>
      <c r="W179" s="3344"/>
      <c r="X179" s="3345"/>
      <c r="AZ179" s="1968"/>
      <c r="BA179" s="1706">
        <v>179</v>
      </c>
    </row>
    <row r="180" spans="1:53" s="144" customFormat="1" ht="14.1" customHeight="1">
      <c r="B180" s="144" t="s">
        <v>1210</v>
      </c>
      <c r="J180" s="3355">
        <f>J178/10</f>
        <v>1374181.6182497176</v>
      </c>
      <c r="K180" s="3359"/>
      <c r="L180" s="3356"/>
      <c r="N180" s="369"/>
      <c r="O180" s="369"/>
      <c r="P180" s="369"/>
      <c r="Q180" s="369"/>
      <c r="R180" s="369"/>
      <c r="V180" s="849"/>
      <c r="W180" s="3344"/>
      <c r="X180" s="3345"/>
      <c r="AZ180" s="1968"/>
      <c r="BA180" s="1706">
        <v>180</v>
      </c>
    </row>
    <row r="181" spans="1:53" s="144" customFormat="1" ht="14.1" customHeight="1">
      <c r="M181" s="145"/>
      <c r="N181" s="3187" t="s">
        <v>1211</v>
      </c>
      <c r="O181" s="3187"/>
      <c r="Q181" s="3187" t="s">
        <v>1671</v>
      </c>
      <c r="R181" s="3187"/>
      <c r="V181" s="849"/>
      <c r="W181" s="3344"/>
      <c r="X181" s="3345"/>
      <c r="Z181" s="1819" t="s">
        <v>1646</v>
      </c>
      <c r="AZ181" s="1968"/>
      <c r="BA181" s="1706">
        <v>181</v>
      </c>
    </row>
    <row r="182" spans="1:53" s="144" customFormat="1" ht="14.1" customHeight="1" thickBot="1">
      <c r="B182" s="144" t="s">
        <v>1389</v>
      </c>
      <c r="J182" s="3442">
        <f>N182+Q182</f>
        <v>1.272</v>
      </c>
      <c r="K182" s="3443"/>
      <c r="L182" s="3444"/>
      <c r="M182" s="248" t="s">
        <v>1212</v>
      </c>
      <c r="N182" s="3445">
        <v>0.86</v>
      </c>
      <c r="O182" s="3446"/>
      <c r="P182" s="248" t="s">
        <v>570</v>
      </c>
      <c r="Q182" s="3445">
        <v>0.41199999999999998</v>
      </c>
      <c r="R182" s="3446"/>
      <c r="V182" s="849"/>
      <c r="W182" s="3344"/>
      <c r="X182" s="3345"/>
      <c r="Z182" s="1820">
        <f>'DCA Underwriting Assumptions'!Q114</f>
        <v>1105000</v>
      </c>
      <c r="AZ182" s="1968"/>
      <c r="BA182" s="1706">
        <v>182</v>
      </c>
    </row>
    <row r="183" spans="1:53" s="144" customFormat="1" ht="14.1" customHeight="1" thickBot="1">
      <c r="B183" s="243" t="s">
        <v>1340</v>
      </c>
      <c r="J183" s="3316">
        <f>ROUNDDOWN(IF(J182=0,"",J180/J182),0)</f>
        <v>1080331</v>
      </c>
      <c r="K183" s="3430"/>
      <c r="L183" s="3317"/>
      <c r="M183" s="145"/>
      <c r="V183" s="849"/>
      <c r="W183" s="3344"/>
      <c r="X183" s="334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7">
        <v>1080331</v>
      </c>
      <c r="K187" s="3448"/>
      <c r="L187" s="3449"/>
      <c r="Q187" s="147" t="s">
        <v>6247</v>
      </c>
      <c r="R187" s="147"/>
      <c r="S187" s="3334" t="str">
        <f>'Part VIII Scoring Criteria'!$J$36</f>
        <v>Rural</v>
      </c>
      <c r="T187" s="3335"/>
      <c r="U187" s="1622" t="str">
        <f>IF(OR(S187="Atlanta Metro", "Other Metro"), "Metro", IF(S187="Rural","Rural",""))</f>
        <v>Rural</v>
      </c>
      <c r="V187" s="849"/>
      <c r="W187" s="3344"/>
      <c r="X187" s="334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7">
        <v>1080000</v>
      </c>
      <c r="K189" s="3448"/>
      <c r="L189" s="3449"/>
      <c r="M189" s="3432" t="str">
        <f>IF(J187=0,"",IF(J189&gt;J187,"Request can't exceed Maximum - REVISE (Try Round Down)!",""))</f>
        <v/>
      </c>
      <c r="N189" s="3432"/>
      <c r="O189" s="3432"/>
      <c r="P189" s="3432"/>
      <c r="Q189" s="241" t="s">
        <v>6543</v>
      </c>
      <c r="R189" s="147"/>
      <c r="S189" s="3334" t="str">
        <f>'Part VIII Scoring Criteria'!$F$36</f>
        <v>New Supply</v>
      </c>
      <c r="T189" s="3335"/>
      <c r="V189" s="849"/>
      <c r="W189" s="3344"/>
      <c r="X189" s="3345"/>
      <c r="AZ189" s="744"/>
      <c r="BA189" s="1706">
        <v>189</v>
      </c>
    </row>
    <row r="190" spans="1:53" s="144" customFormat="1" ht="3" customHeight="1">
      <c r="J190" s="298"/>
      <c r="K190" s="298"/>
      <c r="L190" s="298"/>
      <c r="M190" s="3432"/>
      <c r="N190" s="3432"/>
      <c r="O190" s="3432"/>
      <c r="P190" s="343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2">
        <f>IF(J189="",0,+MIN(J187,J189))</f>
        <v>1080000</v>
      </c>
      <c r="K191" s="3463"/>
      <c r="L191" s="3464"/>
      <c r="M191" s="3432"/>
      <c r="N191" s="3432"/>
      <c r="O191" s="3432"/>
      <c r="P191" s="343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4"/>
      <c r="X191" s="334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6" t="s">
        <v>7127</v>
      </c>
      <c r="B195" s="3306"/>
      <c r="C195" s="3306"/>
      <c r="D195" s="3306"/>
      <c r="E195" s="3306"/>
      <c r="F195" s="3306"/>
      <c r="G195" s="3306"/>
      <c r="H195" s="3306"/>
      <c r="I195" s="3306"/>
      <c r="J195" s="3306"/>
      <c r="K195" s="3306"/>
      <c r="L195" s="3306"/>
      <c r="M195" s="3306"/>
      <c r="N195" s="3465"/>
      <c r="O195" s="3465"/>
      <c r="P195" s="3465"/>
      <c r="Q195" s="3465"/>
      <c r="R195" s="3465"/>
      <c r="S195" s="3465"/>
      <c r="T195" s="3465"/>
      <c r="V195" s="752"/>
      <c r="W195" s="3304" t="s">
        <v>2452</v>
      </c>
      <c r="X195" s="3304"/>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 zoomScaleNormal="100" workbookViewId="0">
      <selection activeCell="F14" sqref="F14:F1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6" t="str">
        <f>CONCATENATE("PART THREE (B) -  OTHER COSTS","  -  ",'Part I-Project Identification'!$O$7," - ",'Part I-Project Identification'!$F$25,"  -  ",'Part I-Project Identification'!$F$26,"  -  ",'Part I-Project Identification'!$J$26,",  ","County")</f>
        <v>PART THREE (B) -  OTHER COSTS  -  2023-0 - Windsor Crossing  -  Nashville  -  Berrien,  County</v>
      </c>
      <c r="B1" s="3507"/>
      <c r="C1" s="3507"/>
      <c r="D1" s="3507"/>
      <c r="E1" s="3507"/>
      <c r="F1" s="3507"/>
      <c r="G1" s="3507"/>
      <c r="H1" s="3507"/>
      <c r="I1" s="722"/>
      <c r="J1" s="722"/>
      <c r="K1" s="722"/>
      <c r="L1" s="722"/>
      <c r="M1" s="722"/>
      <c r="N1" s="722"/>
    </row>
    <row r="2" spans="1:14" ht="9" customHeight="1"/>
    <row r="3" spans="1:14" ht="57" customHeight="1">
      <c r="A3" s="3508" t="s">
        <v>3214</v>
      </c>
      <c r="B3" s="3509"/>
      <c r="C3" s="3509"/>
      <c r="D3" s="3509"/>
      <c r="E3" s="3509"/>
      <c r="F3" s="3509"/>
      <c r="G3" s="3509"/>
      <c r="H3" s="3510"/>
    </row>
    <row r="4" spans="1:14" ht="6" customHeight="1"/>
    <row r="5" spans="1:14" ht="38.25" customHeight="1">
      <c r="A5" s="3511" t="s">
        <v>3276</v>
      </c>
      <c r="B5" s="3511"/>
      <c r="C5" s="3511"/>
      <c r="D5" s="351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2" t="str">
        <f>'Part III-A-Uses of Funds'!$C$15</f>
        <v>Easement for Access and Utilities</v>
      </c>
      <c r="B9" s="3513"/>
      <c r="C9" s="3513"/>
      <c r="D9" s="3514"/>
      <c r="F9" s="3518" t="s">
        <v>7123</v>
      </c>
      <c r="G9" s="726"/>
      <c r="H9" s="3518" t="s">
        <v>7115</v>
      </c>
    </row>
    <row r="10" spans="1:14" s="725" customFormat="1" ht="41.25" customHeight="1">
      <c r="A10" s="3515"/>
      <c r="B10" s="3516"/>
      <c r="C10" s="3516"/>
      <c r="D10" s="3517"/>
      <c r="F10" s="3519"/>
      <c r="G10" s="726"/>
      <c r="H10" s="3519"/>
    </row>
    <row r="11" spans="1:14" s="725" customFormat="1" ht="4.5" customHeight="1">
      <c r="F11" s="3519"/>
      <c r="G11" s="726"/>
      <c r="H11" s="3519"/>
    </row>
    <row r="12" spans="1:14" s="725" customFormat="1" ht="15" customHeight="1">
      <c r="A12" s="735" t="s">
        <v>3209</v>
      </c>
      <c r="B12" s="734">
        <f>'Part III-A-Uses of Funds'!$G$15</f>
        <v>30000</v>
      </c>
      <c r="C12" s="735" t="s">
        <v>1665</v>
      </c>
      <c r="D12" s="734">
        <f>'Part III-A-Uses of Funds'!$J$15+'Part III-A-Uses of Funds'!$M$15+'Part III-A-Uses of Funds'!$P$15</f>
        <v>0</v>
      </c>
      <c r="F12" s="3519"/>
      <c r="G12" s="726"/>
      <c r="H12" s="3519"/>
    </row>
    <row r="13" spans="1:14" s="725" customFormat="1" ht="6" customHeight="1">
      <c r="A13" s="726"/>
      <c r="B13" s="727"/>
      <c r="C13" s="726"/>
      <c r="D13" s="726"/>
      <c r="F13" s="3519"/>
      <c r="G13" s="728"/>
      <c r="H13" s="3519"/>
    </row>
    <row r="14" spans="1:14" s="725" customFormat="1" ht="41.25" customHeight="1">
      <c r="A14" s="3512" t="str">
        <f>'Part III-A-Uses of Funds'!$C$16</f>
        <v>&lt;&lt; Enter description here; provide detail &amp; justification in tab Part III-b &gt;&gt;</v>
      </c>
      <c r="B14" s="3513"/>
      <c r="C14" s="3513"/>
      <c r="D14" s="3514"/>
      <c r="F14" s="3519"/>
      <c r="G14" s="726"/>
      <c r="H14" s="3519"/>
    </row>
    <row r="15" spans="1:14" s="725" customFormat="1" ht="41.25" customHeight="1">
      <c r="A15" s="3515"/>
      <c r="B15" s="3516"/>
      <c r="C15" s="3516"/>
      <c r="D15" s="3517"/>
      <c r="F15" s="3519"/>
      <c r="G15" s="726"/>
      <c r="H15" s="3519"/>
    </row>
    <row r="16" spans="1:14" s="725" customFormat="1" ht="4.5" customHeight="1">
      <c r="F16" s="3519"/>
      <c r="G16" s="726"/>
      <c r="H16" s="3519"/>
    </row>
    <row r="17" spans="1:8" s="725" customFormat="1" ht="15" customHeight="1">
      <c r="A17" s="735" t="s">
        <v>3209</v>
      </c>
      <c r="B17" s="734">
        <f>'Part III-A-Uses of Funds'!$G$16</f>
        <v>0</v>
      </c>
      <c r="C17" s="735" t="s">
        <v>1665</v>
      </c>
      <c r="D17" s="734">
        <f>'Part III-A-Uses of Funds'!$J$16+'Part III-A-Uses of Funds'!$M$16+'Part III-A-Uses of Funds'!$P$16</f>
        <v>0</v>
      </c>
      <c r="F17" s="3519"/>
      <c r="G17" s="726"/>
      <c r="H17" s="3519"/>
    </row>
    <row r="18" spans="1:8" s="725" customFormat="1" ht="6" customHeight="1">
      <c r="A18" s="726"/>
      <c r="B18" s="727"/>
      <c r="C18" s="726"/>
      <c r="D18" s="726"/>
      <c r="F18" s="3519"/>
      <c r="G18" s="728"/>
      <c r="H18" s="3519"/>
    </row>
    <row r="19" spans="1:8" s="725" customFormat="1" ht="41.25" customHeight="1">
      <c r="A19" s="3512" t="str">
        <f>'Part III-A-Uses of Funds'!$C$17</f>
        <v>&lt;&lt; Enter description here; provide detail &amp; justification in tab Part III-b &gt;&gt;</v>
      </c>
      <c r="B19" s="3513"/>
      <c r="C19" s="3513"/>
      <c r="D19" s="3514"/>
      <c r="F19" s="3519"/>
      <c r="G19" s="726"/>
      <c r="H19" s="3519"/>
    </row>
    <row r="20" spans="1:8" s="725" customFormat="1" ht="41.25" customHeight="1">
      <c r="A20" s="3515"/>
      <c r="B20" s="3516"/>
      <c r="C20" s="3516"/>
      <c r="D20" s="3517"/>
      <c r="F20" s="3519"/>
      <c r="G20" s="726"/>
      <c r="H20" s="3519"/>
    </row>
    <row r="21" spans="1:8" s="725" customFormat="1" ht="4.5" customHeight="1">
      <c r="F21" s="3519"/>
      <c r="G21" s="726"/>
      <c r="H21" s="3519"/>
    </row>
    <row r="22" spans="1:8" s="725" customFormat="1" ht="15" customHeight="1">
      <c r="A22" s="735" t="s">
        <v>3209</v>
      </c>
      <c r="B22" s="734">
        <f>'Part III-A-Uses of Funds'!$G$17</f>
        <v>0</v>
      </c>
      <c r="C22" s="735" t="s">
        <v>1665</v>
      </c>
      <c r="D22" s="734">
        <f>'Part III-A-Uses of Funds'!$J$17+'Part III-A-Uses of Funds'!$M$17+'Part III-A-Uses of Funds'!$P$17</f>
        <v>0</v>
      </c>
      <c r="F22" s="3519"/>
      <c r="G22" s="726"/>
      <c r="H22" s="3519"/>
    </row>
    <row r="23" spans="1:8" s="725" customFormat="1" ht="6" customHeight="1">
      <c r="A23" s="726"/>
      <c r="B23" s="727"/>
      <c r="C23" s="726"/>
      <c r="D23" s="726"/>
      <c r="F23" s="3520"/>
      <c r="G23" s="728"/>
      <c r="H23" s="3520"/>
    </row>
    <row r="24" spans="1:8" s="725" customFormat="1">
      <c r="A24" s="736" t="s">
        <v>3208</v>
      </c>
      <c r="B24" s="726"/>
      <c r="C24" s="726"/>
      <c r="D24" s="726"/>
      <c r="E24" s="726"/>
      <c r="F24" s="726"/>
      <c r="G24" s="726"/>
    </row>
    <row r="25" spans="1:8" s="725" customFormat="1" ht="41.25" customHeight="1">
      <c r="A25" s="3512" t="str">
        <f>'Part III-A-Uses of Funds'!$C$46</f>
        <v>&lt;&lt; Enter description here; provide detail &amp; justification in tab Part III-b &gt;&gt;</v>
      </c>
      <c r="B25" s="3513"/>
      <c r="C25" s="3513"/>
      <c r="D25" s="3514"/>
      <c r="E25" s="726"/>
      <c r="F25" s="3521"/>
      <c r="G25" s="726"/>
      <c r="H25" s="3521"/>
    </row>
    <row r="26" spans="1:8" s="725" customFormat="1" ht="41.25" customHeight="1">
      <c r="A26" s="3515"/>
      <c r="B26" s="3516"/>
      <c r="C26" s="3516"/>
      <c r="D26" s="3517"/>
      <c r="E26" s="726"/>
      <c r="F26" s="3522"/>
      <c r="G26" s="726"/>
      <c r="H26" s="3522"/>
    </row>
    <row r="27" spans="1:8" s="725" customFormat="1" ht="4.5" customHeight="1">
      <c r="A27" s="726"/>
      <c r="B27" s="726"/>
      <c r="C27" s="726"/>
      <c r="D27" s="726"/>
      <c r="E27" s="726"/>
      <c r="F27" s="3522"/>
      <c r="G27" s="726"/>
      <c r="H27" s="3522"/>
    </row>
    <row r="28" spans="1:8" s="725" customFormat="1" ht="25.5">
      <c r="A28" s="735" t="s">
        <v>3209</v>
      </c>
      <c r="B28" s="734">
        <f>'Part III-A-Uses of Funds'!$G$46</f>
        <v>0</v>
      </c>
      <c r="C28" s="735" t="s">
        <v>1665</v>
      </c>
      <c r="D28" s="734">
        <f>'Part III-A-Uses of Funds'!$J$46+'Part III-A-Uses of Funds'!$M$46+'Part III-A-Uses of Funds'!$P$46</f>
        <v>0</v>
      </c>
      <c r="E28" s="726"/>
      <c r="F28" s="3522"/>
      <c r="G28" s="726"/>
      <c r="H28" s="3522"/>
    </row>
    <row r="29" spans="1:8" s="725" customFormat="1" ht="6" customHeight="1">
      <c r="A29" s="726"/>
      <c r="B29" s="727"/>
      <c r="C29" s="726"/>
      <c r="D29" s="726"/>
      <c r="E29" s="726"/>
      <c r="F29" s="3523"/>
      <c r="G29" s="728"/>
      <c r="H29" s="3523"/>
    </row>
    <row r="30" spans="1:8" s="725" customFormat="1">
      <c r="A30" s="736" t="s">
        <v>675</v>
      </c>
      <c r="B30" s="726"/>
      <c r="C30" s="726"/>
      <c r="D30" s="726"/>
      <c r="E30" s="726"/>
      <c r="F30" s="726"/>
      <c r="G30" s="726"/>
    </row>
    <row r="31" spans="1:8" s="725" customFormat="1" ht="41.25" customHeight="1">
      <c r="A31" s="3524" t="str">
        <f>'Part III-A-Uses of Funds'!$C$71</f>
        <v>&lt;&lt; Enter description here; provide detail &amp; justification in tab Part III-b &gt;&gt;</v>
      </c>
      <c r="B31" s="3525"/>
      <c r="C31" s="3525"/>
      <c r="D31" s="3526"/>
      <c r="E31" s="726"/>
      <c r="F31" s="3518"/>
      <c r="G31" s="726"/>
      <c r="H31" s="3518"/>
    </row>
    <row r="32" spans="1:8" s="725" customFormat="1" ht="41.25" customHeight="1">
      <c r="A32" s="3515"/>
      <c r="B32" s="3516"/>
      <c r="C32" s="3516"/>
      <c r="D32" s="3517"/>
      <c r="E32" s="726"/>
      <c r="F32" s="3519"/>
      <c r="G32" s="726"/>
      <c r="H32" s="3519"/>
    </row>
    <row r="33" spans="1:8" s="725" customFormat="1" ht="4.5" customHeight="1">
      <c r="A33" s="726"/>
      <c r="B33" s="726"/>
      <c r="C33" s="726"/>
      <c r="D33" s="726"/>
      <c r="E33" s="726"/>
      <c r="F33" s="3519"/>
      <c r="G33" s="726"/>
      <c r="H33" s="3519"/>
    </row>
    <row r="34" spans="1:8" s="725" customFormat="1" ht="14.25" customHeight="1">
      <c r="A34" s="735" t="s">
        <v>3209</v>
      </c>
      <c r="B34" s="734">
        <f>'Part III-A-Uses of Funds'!$G$71</f>
        <v>0</v>
      </c>
      <c r="C34" s="735" t="s">
        <v>1665</v>
      </c>
      <c r="D34" s="734">
        <f>'Part III-A-Uses of Funds'!$J$71+'Part III-A-Uses of Funds'!$M$71+'Part III-A-Uses of Funds'!$P$71</f>
        <v>0</v>
      </c>
      <c r="E34" s="726"/>
      <c r="F34" s="3519"/>
      <c r="G34" s="726"/>
      <c r="H34" s="3519"/>
    </row>
    <row r="35" spans="1:8" s="725" customFormat="1" ht="6" customHeight="1">
      <c r="D35" s="726"/>
      <c r="E35" s="726"/>
      <c r="F35" s="3519"/>
      <c r="G35" s="728"/>
      <c r="H35" s="3519"/>
    </row>
    <row r="36" spans="1:8" s="725" customFormat="1" ht="41.25" customHeight="1">
      <c r="A36" s="3524" t="str">
        <f>'Part III-A-Uses of Funds'!$C$72</f>
        <v>&lt;&lt; Enter description here; provide detail &amp; justification in tab Part III-b &gt;&gt;</v>
      </c>
      <c r="B36" s="3525"/>
      <c r="C36" s="3525"/>
      <c r="D36" s="3526"/>
      <c r="E36" s="726"/>
      <c r="F36" s="3519"/>
      <c r="G36" s="726"/>
      <c r="H36" s="3519"/>
    </row>
    <row r="37" spans="1:8" s="725" customFormat="1" ht="41.25" customHeight="1">
      <c r="A37" s="3515"/>
      <c r="B37" s="3516"/>
      <c r="C37" s="3516"/>
      <c r="D37" s="3517"/>
      <c r="E37" s="726"/>
      <c r="F37" s="3519"/>
      <c r="G37" s="726"/>
      <c r="H37" s="3519"/>
    </row>
    <row r="38" spans="1:8" s="725" customFormat="1" ht="4.5" customHeight="1">
      <c r="A38" s="726"/>
      <c r="B38" s="726"/>
      <c r="C38" s="726"/>
      <c r="D38" s="726"/>
      <c r="E38" s="726"/>
      <c r="F38" s="3519"/>
      <c r="G38" s="726"/>
      <c r="H38" s="3519"/>
    </row>
    <row r="39" spans="1:8" s="725" customFormat="1" ht="14.25" customHeight="1">
      <c r="A39" s="735" t="s">
        <v>3209</v>
      </c>
      <c r="B39" s="734">
        <f>'Part III-A-Uses of Funds'!$G$72</f>
        <v>0</v>
      </c>
      <c r="C39" s="735" t="s">
        <v>1665</v>
      </c>
      <c r="D39" s="734">
        <f>'Part III-A-Uses of Funds'!$J$72+'Part III-A-Uses of Funds'!$M$72+'Part III-A-Uses of Funds'!$P$72</f>
        <v>0</v>
      </c>
      <c r="E39" s="726"/>
      <c r="F39" s="3519"/>
      <c r="G39" s="726"/>
      <c r="H39" s="3519"/>
    </row>
    <row r="40" spans="1:8" s="725" customFormat="1" ht="6" customHeight="1">
      <c r="D40" s="726"/>
      <c r="E40" s="726"/>
      <c r="F40" s="3520"/>
      <c r="G40" s="728"/>
      <c r="H40" s="3520"/>
    </row>
    <row r="41" spans="1:8" s="725" customFormat="1">
      <c r="A41" s="736" t="s">
        <v>449</v>
      </c>
      <c r="B41" s="726"/>
      <c r="C41" s="726"/>
      <c r="D41" s="726"/>
      <c r="E41" s="730"/>
      <c r="F41" s="730"/>
      <c r="G41" s="726"/>
    </row>
    <row r="42" spans="1:8" s="725" customFormat="1" ht="41.25" customHeight="1">
      <c r="A42" s="3524" t="str">
        <f>'Part III-A-Uses of Funds'!$C$85</f>
        <v>&lt;&lt; Enter description here; provide detail &amp; justification in tab Part III-b &gt;&gt;</v>
      </c>
      <c r="B42" s="3525"/>
      <c r="C42" s="3525"/>
      <c r="D42" s="3526"/>
      <c r="F42" s="3521"/>
      <c r="G42" s="726"/>
      <c r="H42" s="3521"/>
    </row>
    <row r="43" spans="1:8" s="725" customFormat="1" ht="41.25" customHeight="1">
      <c r="A43" s="3515"/>
      <c r="B43" s="3516"/>
      <c r="C43" s="3516"/>
      <c r="D43" s="3517"/>
      <c r="E43" s="726"/>
      <c r="F43" s="3522"/>
      <c r="G43" s="726"/>
      <c r="H43" s="3522"/>
    </row>
    <row r="44" spans="1:8" s="725" customFormat="1" ht="4.5" customHeight="1">
      <c r="A44" s="726"/>
      <c r="B44" s="726"/>
      <c r="C44" s="726"/>
      <c r="D44" s="726"/>
      <c r="E44" s="726"/>
      <c r="F44" s="3522"/>
      <c r="G44" s="726"/>
      <c r="H44" s="3522"/>
    </row>
    <row r="45" spans="1:8" s="725" customFormat="1" ht="13.5" customHeight="1">
      <c r="A45" s="735" t="s">
        <v>3209</v>
      </c>
      <c r="B45" s="734">
        <f>'Part III-A-Uses of Funds'!$G$85</f>
        <v>0</v>
      </c>
      <c r="C45" s="735" t="s">
        <v>1665</v>
      </c>
      <c r="D45" s="734">
        <f>'Part III-A-Uses of Funds'!$J$85+'Part III-A-Uses of Funds'!$M$85+'Part III-A-Uses of Funds'!$P$85</f>
        <v>0</v>
      </c>
      <c r="E45" s="726"/>
      <c r="F45" s="3522"/>
      <c r="G45" s="726"/>
      <c r="H45" s="3522"/>
    </row>
    <row r="46" spans="1:8" s="725" customFormat="1" ht="6" customHeight="1">
      <c r="A46" s="726"/>
      <c r="B46" s="727"/>
      <c r="C46" s="726"/>
      <c r="D46" s="726"/>
      <c r="E46" s="726"/>
      <c r="F46" s="3523"/>
      <c r="G46" s="728"/>
      <c r="H46" s="3523"/>
    </row>
    <row r="47" spans="1:8" s="725" customFormat="1">
      <c r="A47" s="736" t="s">
        <v>677</v>
      </c>
      <c r="B47" s="726"/>
      <c r="C47" s="726"/>
      <c r="D47" s="726"/>
      <c r="E47" s="726"/>
      <c r="F47" s="726"/>
      <c r="G47" s="726"/>
    </row>
    <row r="48" spans="1:8" s="725" customFormat="1" ht="41.25" customHeight="1">
      <c r="A48" s="3524" t="str">
        <f>'Part III-A-Uses of Funds'!$C$102</f>
        <v>&lt;&lt; Enter description here; provide detail &amp; justification in tab Part III-b &gt;&gt;</v>
      </c>
      <c r="B48" s="3525"/>
      <c r="C48" s="3525"/>
      <c r="D48" s="3526"/>
      <c r="F48" s="3521"/>
      <c r="G48" s="726"/>
    </row>
    <row r="49" spans="1:7" s="725" customFormat="1" ht="41.25" customHeight="1">
      <c r="A49" s="3515"/>
      <c r="B49" s="3516"/>
      <c r="C49" s="3516"/>
      <c r="D49" s="3517"/>
      <c r="E49" s="726"/>
      <c r="F49" s="3522"/>
      <c r="G49" s="726"/>
    </row>
    <row r="50" spans="1:7" s="725" customFormat="1" ht="3" customHeight="1">
      <c r="A50" s="726"/>
      <c r="B50" s="726"/>
      <c r="C50" s="726"/>
      <c r="D50" s="726"/>
      <c r="E50" s="726"/>
      <c r="F50" s="3522"/>
      <c r="G50" s="726"/>
    </row>
    <row r="51" spans="1:7" s="725" customFormat="1" ht="13.5" customHeight="1">
      <c r="A51" s="735" t="s">
        <v>3209</v>
      </c>
      <c r="B51" s="734">
        <f>'Part III-A-Uses of Funds'!$G$102</f>
        <v>0</v>
      </c>
      <c r="C51" s="729"/>
      <c r="D51" s="729"/>
      <c r="E51" s="726"/>
      <c r="F51" s="3522"/>
      <c r="G51" s="726"/>
    </row>
    <row r="52" spans="1:7" s="725" customFormat="1" ht="3.75" customHeight="1">
      <c r="A52" s="726"/>
      <c r="B52" s="726"/>
      <c r="C52" s="726"/>
      <c r="D52" s="726"/>
      <c r="E52" s="726"/>
      <c r="F52" s="3523"/>
      <c r="G52" s="728"/>
    </row>
    <row r="53" spans="1:7" s="725" customFormat="1">
      <c r="A53" s="736" t="s">
        <v>3210</v>
      </c>
      <c r="B53" s="726"/>
      <c r="C53" s="726"/>
      <c r="D53" s="726"/>
      <c r="E53" s="726"/>
      <c r="F53" s="726"/>
      <c r="G53" s="726"/>
    </row>
    <row r="54" spans="1:7" s="725" customFormat="1" ht="41.25" customHeight="1">
      <c r="A54" s="3524" t="str">
        <f>'Part III-A-Uses of Funds'!$C$112</f>
        <v>&lt;&lt; Enter description here; provide detail &amp; justification in tab Part III-b &gt;&gt;</v>
      </c>
      <c r="B54" s="3525"/>
      <c r="C54" s="3525"/>
      <c r="D54" s="3526"/>
      <c r="F54" s="3518"/>
      <c r="G54" s="726"/>
    </row>
    <row r="55" spans="1:7" s="725" customFormat="1" ht="41.25" customHeight="1">
      <c r="A55" s="3515"/>
      <c r="B55" s="3516"/>
      <c r="C55" s="3516"/>
      <c r="D55" s="3517"/>
      <c r="E55" s="726"/>
      <c r="F55" s="3519"/>
      <c r="G55" s="726"/>
    </row>
    <row r="56" spans="1:7" s="725" customFormat="1" ht="3" customHeight="1">
      <c r="A56" s="726"/>
      <c r="B56" s="726"/>
      <c r="C56" s="726"/>
      <c r="D56" s="726"/>
      <c r="E56" s="726"/>
      <c r="F56" s="3519"/>
      <c r="G56" s="726"/>
    </row>
    <row r="57" spans="1:7" s="725" customFormat="1" ht="25.5">
      <c r="A57" s="735" t="s">
        <v>3209</v>
      </c>
      <c r="B57" s="734">
        <f>'Part III-A-Uses of Funds'!$G$112</f>
        <v>0</v>
      </c>
      <c r="C57" s="729"/>
      <c r="D57" s="729"/>
      <c r="E57" s="726"/>
      <c r="F57" s="3519"/>
      <c r="G57" s="726"/>
    </row>
    <row r="58" spans="1:7" s="725" customFormat="1" ht="3.75" customHeight="1">
      <c r="A58" s="724"/>
      <c r="B58" s="724"/>
      <c r="C58" s="724"/>
      <c r="D58" s="724"/>
      <c r="E58" s="724"/>
      <c r="F58" s="3519"/>
      <c r="G58" s="728"/>
    </row>
    <row r="59" spans="1:7" s="725" customFormat="1" ht="41.25" customHeight="1">
      <c r="A59" s="3524" t="str">
        <f>'Part III-A-Uses of Funds'!$C$113</f>
        <v>&lt;&lt; Enter description here; provide detail &amp; justification in tab Part III-b &gt;&gt;</v>
      </c>
      <c r="B59" s="3525"/>
      <c r="C59" s="3525"/>
      <c r="D59" s="3526"/>
      <c r="F59" s="3519"/>
      <c r="G59" s="726"/>
    </row>
    <row r="60" spans="1:7" s="725" customFormat="1" ht="41.25" customHeight="1">
      <c r="A60" s="3515"/>
      <c r="B60" s="3516"/>
      <c r="C60" s="3516"/>
      <c r="D60" s="3517"/>
      <c r="E60" s="726"/>
      <c r="F60" s="3519"/>
      <c r="G60" s="726"/>
    </row>
    <row r="61" spans="1:7" s="725" customFormat="1" ht="3" customHeight="1">
      <c r="A61" s="726"/>
      <c r="B61" s="726"/>
      <c r="C61" s="726"/>
      <c r="D61" s="726"/>
      <c r="E61" s="726"/>
      <c r="F61" s="3519"/>
      <c r="G61" s="726"/>
    </row>
    <row r="62" spans="1:7" s="725" customFormat="1" ht="25.5">
      <c r="A62" s="735" t="s">
        <v>3209</v>
      </c>
      <c r="B62" s="734">
        <f>'Part III-A-Uses of Funds'!$G$113</f>
        <v>0</v>
      </c>
      <c r="C62" s="729"/>
      <c r="D62" s="729"/>
      <c r="E62" s="726"/>
      <c r="F62" s="3519"/>
      <c r="G62" s="726"/>
    </row>
    <row r="63" spans="1:7" s="725" customFormat="1" ht="3.75" customHeight="1">
      <c r="A63" s="724"/>
      <c r="B63" s="724"/>
      <c r="C63" s="724"/>
      <c r="D63" s="724"/>
      <c r="E63" s="724"/>
      <c r="F63" s="3520"/>
      <c r="G63" s="728"/>
    </row>
    <row r="64" spans="1:7" s="725" customFormat="1">
      <c r="A64" s="736" t="s">
        <v>3211</v>
      </c>
      <c r="B64" s="726"/>
      <c r="C64" s="726"/>
      <c r="D64" s="726"/>
      <c r="E64" s="726"/>
      <c r="F64" s="726"/>
      <c r="G64" s="726"/>
    </row>
    <row r="65" spans="1:8" s="725" customFormat="1" ht="41.25" customHeight="1">
      <c r="A65" s="3524" t="str">
        <f>'Part III-A-Uses of Funds'!$C$119</f>
        <v>&lt;&lt; Enter description here; provide detail &amp; justification in tab Part III-b &gt;&gt;</v>
      </c>
      <c r="B65" s="3525"/>
      <c r="C65" s="3525"/>
      <c r="D65" s="3526"/>
      <c r="F65" s="3521"/>
      <c r="G65" s="726"/>
    </row>
    <row r="66" spans="1:8" s="725" customFormat="1" ht="41.25" customHeight="1">
      <c r="A66" s="3515"/>
      <c r="B66" s="3516"/>
      <c r="C66" s="3516"/>
      <c r="D66" s="3517"/>
      <c r="E66" s="726"/>
      <c r="F66" s="3522"/>
      <c r="G66" s="726"/>
    </row>
    <row r="67" spans="1:8" s="725" customFormat="1" ht="3" customHeight="1">
      <c r="A67" s="726"/>
      <c r="B67" s="726"/>
      <c r="C67" s="726"/>
      <c r="D67" s="726"/>
      <c r="E67" s="726"/>
      <c r="F67" s="3522"/>
      <c r="G67" s="726"/>
    </row>
    <row r="68" spans="1:8" s="725" customFormat="1" ht="25.5">
      <c r="A68" s="735" t="s">
        <v>3209</v>
      </c>
      <c r="B68" s="734">
        <f>'Part III-A-Uses of Funds'!$G$119</f>
        <v>0</v>
      </c>
      <c r="C68" s="729"/>
      <c r="D68" s="729"/>
      <c r="E68" s="726"/>
      <c r="F68" s="3522"/>
      <c r="G68" s="726"/>
    </row>
    <row r="69" spans="1:8" s="725" customFormat="1" ht="3.75" customHeight="1">
      <c r="A69" s="726"/>
      <c r="B69" s="727"/>
      <c r="C69" s="726"/>
      <c r="D69" s="726"/>
      <c r="E69" s="726"/>
      <c r="F69" s="3523"/>
      <c r="G69" s="728"/>
    </row>
    <row r="70" spans="1:8" s="725" customFormat="1">
      <c r="A70" s="736" t="s">
        <v>1231</v>
      </c>
      <c r="B70" s="726"/>
      <c r="C70" s="726"/>
      <c r="D70" s="726"/>
      <c r="E70" s="726"/>
      <c r="F70" s="726"/>
      <c r="G70" s="726"/>
    </row>
    <row r="71" spans="1:8" s="725" customFormat="1" ht="41.25" customHeight="1">
      <c r="A71" s="3524" t="str">
        <f>'Part III-A-Uses of Funds'!$C$134</f>
        <v>&lt;&lt; Enter description here; provide detail &amp; justification in tab Part III-b &gt;&gt;</v>
      </c>
      <c r="B71" s="3525"/>
      <c r="C71" s="3525"/>
      <c r="D71" s="3526"/>
      <c r="F71" s="3521"/>
      <c r="G71" s="726"/>
      <c r="H71" s="3521"/>
    </row>
    <row r="72" spans="1:8" s="725" customFormat="1" ht="41.25" customHeight="1">
      <c r="A72" s="3515"/>
      <c r="B72" s="3516"/>
      <c r="C72" s="3516"/>
      <c r="D72" s="3517"/>
      <c r="E72" s="726"/>
      <c r="F72" s="3522"/>
      <c r="G72" s="726"/>
      <c r="H72" s="3522"/>
    </row>
    <row r="73" spans="1:8" s="725" customFormat="1" ht="4.5" customHeight="1">
      <c r="A73" s="726"/>
      <c r="B73" s="726"/>
      <c r="C73" s="726"/>
      <c r="D73" s="726"/>
      <c r="E73" s="726"/>
      <c r="F73" s="3522"/>
      <c r="G73" s="726"/>
      <c r="H73" s="3522"/>
    </row>
    <row r="74" spans="1:8" s="725" customFormat="1" ht="12.75" customHeight="1">
      <c r="A74" s="735" t="s">
        <v>3209</v>
      </c>
      <c r="B74" s="734">
        <f>'Part III-A-Uses of Funds'!$G$134</f>
        <v>0</v>
      </c>
      <c r="C74" s="735" t="s">
        <v>1665</v>
      </c>
      <c r="D74" s="734">
        <f>'Part III-A-Uses of Funds'!$J$134+'Part III-A-Uses of Funds'!$M$134+'Part III-A-Uses of Funds'!$P$134</f>
        <v>0</v>
      </c>
      <c r="E74" s="726"/>
      <c r="F74" s="3522"/>
      <c r="G74" s="726"/>
      <c r="H74" s="3522"/>
    </row>
    <row r="75" spans="1:8" s="725" customFormat="1" ht="6" customHeight="1">
      <c r="A75" s="726"/>
      <c r="B75" s="727"/>
      <c r="C75" s="726"/>
      <c r="D75" s="726"/>
      <c r="E75" s="726"/>
      <c r="F75" s="3523"/>
      <c r="G75" s="728"/>
      <c r="H75" s="3523"/>
    </row>
    <row r="76" spans="1:8" s="725" customFormat="1">
      <c r="A76" s="736" t="s">
        <v>3212</v>
      </c>
      <c r="B76" s="727"/>
      <c r="C76" s="726"/>
      <c r="D76" s="726"/>
      <c r="E76" s="726"/>
      <c r="F76" s="726"/>
      <c r="G76" s="728"/>
    </row>
    <row r="77" spans="1:8" s="725" customFormat="1" ht="41.25" customHeight="1">
      <c r="A77" s="3524" t="str">
        <f>'Part III-A-Uses of Funds'!$C$143</f>
        <v>&lt;&lt; Enter description here; provide detail &amp; justification in tab Part III-b &gt;&gt;</v>
      </c>
      <c r="B77" s="3525"/>
      <c r="C77" s="3525"/>
      <c r="D77" s="3526"/>
      <c r="F77" s="3521"/>
      <c r="G77" s="726"/>
      <c r="H77" s="3521"/>
    </row>
    <row r="78" spans="1:8" s="725" customFormat="1" ht="41.25" customHeight="1">
      <c r="A78" s="3515"/>
      <c r="B78" s="3516"/>
      <c r="C78" s="3516"/>
      <c r="D78" s="3517"/>
      <c r="E78" s="726"/>
      <c r="F78" s="3522"/>
      <c r="G78" s="726"/>
      <c r="H78" s="3522"/>
    </row>
    <row r="79" spans="1:8" s="725" customFormat="1" ht="4.5" customHeight="1">
      <c r="A79" s="726"/>
      <c r="B79" s="726"/>
      <c r="C79" s="726"/>
      <c r="D79" s="726"/>
      <c r="E79" s="726"/>
      <c r="F79" s="3522"/>
      <c r="G79" s="726"/>
      <c r="H79" s="3522"/>
    </row>
    <row r="80" spans="1:8" s="725" customFormat="1" ht="12.75" customHeight="1">
      <c r="A80" s="735" t="s">
        <v>3209</v>
      </c>
      <c r="B80" s="734">
        <f>'Part III-A-Uses of Funds'!$G$143</f>
        <v>0</v>
      </c>
      <c r="C80" s="735" t="s">
        <v>1665</v>
      </c>
      <c r="D80" s="734">
        <f>'Part III-A-Uses of Funds'!$J$143+'Part III-A-Uses of Funds'!$M$143+'Part III-A-Uses of Funds'!$P$143</f>
        <v>0</v>
      </c>
      <c r="E80" s="731"/>
      <c r="F80" s="3522"/>
      <c r="G80" s="726"/>
      <c r="H80" s="3522"/>
    </row>
    <row r="81" spans="4:8" s="725" customFormat="1" ht="6" customHeight="1">
      <c r="D81" s="732"/>
      <c r="E81" s="733"/>
      <c r="F81" s="3523"/>
      <c r="G81" s="728"/>
      <c r="H81" s="3523"/>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P28" sqref="P2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31" t="str">
        <f>CONCATENATE("PART FOUR - UTILITY ALLOWANCES","  -  ",'Part I-Project Identification'!$O$7," ",'Part I-Project Identification'!$F$25,", ",'Part I-Project Identification'!F26,", ",'Part I-Project Identification'!J26," County")</f>
        <v>PART FOUR - UTILITY ALLOWANCES  -  2023-0 Windsor Crossing, Nashville, Berrien County</v>
      </c>
      <c r="B1" s="3532"/>
      <c r="C1" s="3532"/>
      <c r="D1" s="3532"/>
      <c r="E1" s="3532"/>
      <c r="F1" s="3532"/>
      <c r="G1" s="3532"/>
      <c r="H1" s="3532"/>
      <c r="I1" s="3532"/>
      <c r="J1" s="3532"/>
      <c r="K1" s="3532"/>
      <c r="L1" s="3532"/>
      <c r="M1" s="3532"/>
      <c r="N1" s="4"/>
      <c r="O1" s="4"/>
      <c r="P1" s="4"/>
      <c r="Q1" s="4"/>
    </row>
    <row r="2" spans="1:25" s="6" customFormat="1" ht="7.5" customHeight="1"/>
    <row r="3" spans="1:25" s="6" customFormat="1" ht="12.75" customHeight="1">
      <c r="B3" s="3539" t="str">
        <f>'Part I-Project Identification'!$A$6</f>
        <v>April 2023</v>
      </c>
      <c r="C3" s="3539"/>
      <c r="D3" s="3539"/>
      <c r="E3" s="3539"/>
      <c r="F3" s="4" t="s">
        <v>6737</v>
      </c>
      <c r="I3" s="3540" t="str">
        <f>VLOOKUP('Part I-Project Identification'!$J$26,'DCA Underwriting Assumptions'!$G$141:$H$300,2)</f>
        <v>South</v>
      </c>
      <c r="J3" s="3541"/>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3" t="s">
        <v>7048</v>
      </c>
      <c r="J7" s="3534"/>
      <c r="K7" s="3534"/>
      <c r="L7" s="3534"/>
      <c r="M7" s="3535"/>
      <c r="O7" s="839"/>
      <c r="P7" s="839"/>
      <c r="Q7" s="839"/>
      <c r="R7" s="839"/>
      <c r="S7" s="839"/>
      <c r="T7" s="839"/>
      <c r="U7" s="839"/>
      <c r="V7" s="393"/>
      <c r="W7" s="393"/>
      <c r="X7" s="393"/>
      <c r="Y7" s="393"/>
    </row>
    <row r="8" spans="1:25" s="6" customFormat="1" ht="13.35" customHeight="1">
      <c r="A8" s="10"/>
      <c r="F8" s="1" t="s">
        <v>593</v>
      </c>
      <c r="G8" s="1"/>
      <c r="H8" s="26"/>
      <c r="I8" s="3536">
        <v>44927</v>
      </c>
      <c r="J8" s="3537"/>
      <c r="K8" s="5" t="s">
        <v>505</v>
      </c>
      <c r="L8" s="3527" t="s">
        <v>6291</v>
      </c>
      <c r="M8" s="352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9" t="s">
        <v>7047</v>
      </c>
      <c r="E12" s="3530"/>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9" t="s">
        <v>1491</v>
      </c>
      <c r="E13" s="3550"/>
      <c r="F13" s="208" t="s">
        <v>416</v>
      </c>
      <c r="G13" s="208"/>
      <c r="H13" s="803"/>
      <c r="I13" s="1267"/>
      <c r="J13" s="1267">
        <v>7</v>
      </c>
      <c r="K13" s="1267">
        <v>9</v>
      </c>
      <c r="L13" s="1268">
        <v>12</v>
      </c>
      <c r="M13" s="1268"/>
      <c r="O13" s="3542" t="s">
        <v>3275</v>
      </c>
      <c r="P13" s="3542"/>
      <c r="Q13" s="3542"/>
    </row>
    <row r="14" spans="1:25" s="6" customFormat="1" ht="12" customHeight="1">
      <c r="B14" s="1275" t="s">
        <v>1493</v>
      </c>
      <c r="C14" s="1276"/>
      <c r="D14" s="3549" t="s">
        <v>1491</v>
      </c>
      <c r="E14" s="3550"/>
      <c r="F14" s="208" t="s">
        <v>416</v>
      </c>
      <c r="G14" s="208"/>
      <c r="H14" s="203"/>
      <c r="I14" s="1267"/>
      <c r="J14" s="1267">
        <v>14</v>
      </c>
      <c r="K14" s="1267">
        <v>19</v>
      </c>
      <c r="L14" s="1268">
        <v>23</v>
      </c>
      <c r="M14" s="1268"/>
      <c r="O14" s="3542"/>
      <c r="P14" s="3542"/>
      <c r="Q14" s="3542"/>
    </row>
    <row r="15" spans="1:25" s="6" customFormat="1" ht="12" customHeight="1">
      <c r="B15" s="1277" t="s">
        <v>440</v>
      </c>
      <c r="C15" s="1278"/>
      <c r="D15" s="1277" t="s">
        <v>1491</v>
      </c>
      <c r="E15" s="204"/>
      <c r="F15" s="208" t="s">
        <v>416</v>
      </c>
      <c r="G15" s="208"/>
      <c r="H15" s="802"/>
      <c r="I15" s="1267"/>
      <c r="J15" s="1267">
        <v>10</v>
      </c>
      <c r="K15" s="1267">
        <v>13</v>
      </c>
      <c r="L15" s="1268">
        <v>16</v>
      </c>
      <c r="M15" s="1268"/>
      <c r="O15" s="3542"/>
      <c r="P15" s="3542"/>
      <c r="Q15" s="3542"/>
    </row>
    <row r="16" spans="1:25" s="6" customFormat="1" ht="12" customHeight="1">
      <c r="B16" s="1279" t="s">
        <v>3269</v>
      </c>
      <c r="C16" s="1274"/>
      <c r="D16" s="1273" t="s">
        <v>1491</v>
      </c>
      <c r="E16" s="801"/>
      <c r="F16" s="208"/>
      <c r="G16" s="208" t="s">
        <v>416</v>
      </c>
      <c r="H16" s="803"/>
      <c r="I16" s="1267"/>
      <c r="J16" s="1267"/>
      <c r="K16" s="1267"/>
      <c r="L16" s="1268"/>
      <c r="M16" s="1268"/>
      <c r="O16" s="3542"/>
      <c r="P16" s="3542"/>
      <c r="Q16" s="3542"/>
    </row>
    <row r="17" spans="1:25" s="6" customFormat="1" ht="12" customHeight="1">
      <c r="B17" s="1279" t="s">
        <v>3270</v>
      </c>
      <c r="C17" s="1274"/>
      <c r="D17" s="1273" t="s">
        <v>1491</v>
      </c>
      <c r="E17" s="801"/>
      <c r="F17" s="208"/>
      <c r="G17" s="208" t="s">
        <v>416</v>
      </c>
      <c r="H17" s="803"/>
      <c r="I17" s="1267"/>
      <c r="J17" s="1267"/>
      <c r="K17" s="1267"/>
      <c r="L17" s="1268"/>
      <c r="M17" s="1268"/>
      <c r="O17" s="3542"/>
      <c r="P17" s="3542"/>
      <c r="Q17" s="3542"/>
    </row>
    <row r="18" spans="1:25" s="6" customFormat="1" ht="12" customHeight="1">
      <c r="B18" s="1280" t="s">
        <v>3271</v>
      </c>
      <c r="C18" s="1276"/>
      <c r="D18" s="1275" t="s">
        <v>1491</v>
      </c>
      <c r="E18" s="801"/>
      <c r="F18" s="208" t="s">
        <v>416</v>
      </c>
      <c r="G18" s="208"/>
      <c r="H18" s="203"/>
      <c r="I18" s="1267"/>
      <c r="J18" s="1267">
        <v>21</v>
      </c>
      <c r="K18" s="1267">
        <v>27</v>
      </c>
      <c r="L18" s="1268">
        <v>33</v>
      </c>
      <c r="M18" s="1268"/>
      <c r="O18" s="3542"/>
      <c r="P18" s="3542"/>
      <c r="Q18" s="3542"/>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1"/>
      <c r="D21" s="3552"/>
      <c r="E21" s="3553"/>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34"/>
      <c r="K24" s="3534"/>
      <c r="L24" s="3534"/>
      <c r="M24" s="3535"/>
      <c r="O24" s="839"/>
      <c r="P24" s="839"/>
      <c r="Q24" s="839"/>
      <c r="R24" s="839"/>
      <c r="S24" s="839"/>
      <c r="T24" s="839"/>
      <c r="U24" s="839"/>
      <c r="V24" s="393"/>
      <c r="W24" s="393"/>
      <c r="X24" s="393"/>
      <c r="Y24" s="393"/>
    </row>
    <row r="25" spans="1:25" s="6" customFormat="1" ht="13.35" customHeight="1">
      <c r="A25" s="10"/>
      <c r="B25" s="10"/>
      <c r="F25" s="1" t="s">
        <v>593</v>
      </c>
      <c r="G25" s="1"/>
      <c r="H25" s="26"/>
      <c r="I25" s="3536"/>
      <c r="J25" s="3537"/>
      <c r="K25" s="5" t="s">
        <v>505</v>
      </c>
      <c r="L25" s="3527"/>
      <c r="M25" s="352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9" t="s">
        <v>1689</v>
      </c>
      <c r="E29" s="353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9" t="s">
        <v>1689</v>
      </c>
      <c r="E30" s="355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9" t="s">
        <v>1689</v>
      </c>
      <c r="E31" s="3550"/>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1"/>
      <c r="D38" s="3552"/>
      <c r="E38" s="3553"/>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c r="C43" s="3544"/>
      <c r="D43" s="3544"/>
      <c r="E43" s="3544"/>
      <c r="F43" s="3544"/>
      <c r="G43" s="3544"/>
      <c r="H43" s="3544"/>
      <c r="I43" s="3544"/>
      <c r="J43" s="3544"/>
      <c r="K43" s="3544"/>
      <c r="L43" s="3544"/>
      <c r="M43" s="3545"/>
      <c r="N43"/>
      <c r="O43" s="3012" t="s">
        <v>2452</v>
      </c>
      <c r="P43" s="3012"/>
      <c r="Q43" s="3012"/>
      <c r="R43" s="3012"/>
      <c r="S43" s="3012"/>
    </row>
    <row r="44" spans="1:19" s="6" customFormat="1" ht="3" customHeight="1">
      <c r="M44"/>
      <c r="N44"/>
      <c r="O44" s="3012"/>
      <c r="P44" s="3012"/>
      <c r="Q44" s="3012"/>
      <c r="R44" s="3012"/>
      <c r="S44" s="3012"/>
    </row>
    <row r="45" spans="1:19" s="6" customFormat="1" ht="12" customHeight="1">
      <c r="A45" s="10"/>
      <c r="B45" s="10" t="s">
        <v>1711</v>
      </c>
      <c r="M45"/>
      <c r="N45"/>
      <c r="O45" s="3012"/>
      <c r="P45" s="3012"/>
      <c r="Q45" s="3012"/>
      <c r="R45" s="3012"/>
      <c r="S45" s="3012"/>
    </row>
    <row r="46" spans="1:19" s="6" customFormat="1" ht="24.75" customHeight="1">
      <c r="B46" s="3546"/>
      <c r="C46" s="3547"/>
      <c r="D46" s="3547"/>
      <c r="E46" s="3547"/>
      <c r="F46" s="3547"/>
      <c r="G46" s="3547"/>
      <c r="H46" s="3547"/>
      <c r="I46" s="3547"/>
      <c r="J46" s="3547"/>
      <c r="K46" s="3547"/>
      <c r="L46" s="3547"/>
      <c r="M46" s="3548"/>
      <c r="N46"/>
      <c r="O46" s="3012"/>
      <c r="P46" s="3012"/>
      <c r="Q46" s="3012"/>
      <c r="R46" s="3012"/>
      <c r="S46" s="3012"/>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6" ma:contentTypeDescription="Create a new document." ma:contentTypeScope="" ma:versionID="2277430e8a5c9066aa03e376737fbc4c">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7c1fcc95baaedb7a921bb2bdf0b5aed"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B47FC3-50EF-43FD-832E-26135EE29175}">
  <ds:schemaRefs>
    <ds:schemaRef ds:uri="http://schemas.microsoft.com/office/2006/metadata/properties"/>
    <ds:schemaRef ds:uri="http://schemas.microsoft.com/office/infopath/2007/PartnerControls"/>
    <ds:schemaRef ds:uri="2e669154-7074-4abd-8878-51cd44ef535d"/>
    <ds:schemaRef ds:uri="b369fc44-467f-4fd4-ad5b-7b83e11effc3"/>
  </ds:schemaRefs>
</ds:datastoreItem>
</file>

<file path=customXml/itemProps2.xml><?xml version="1.0" encoding="utf-8"?>
<ds:datastoreItem xmlns:ds="http://schemas.openxmlformats.org/officeDocument/2006/customXml" ds:itemID="{DDF44DCA-955D-42AA-B8CA-9417A6CC6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F55963-CA01-408C-A921-E0E85729FC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33</vt:i4>
      </vt:variant>
      <vt:variant>
        <vt:lpstr>Named Ranges</vt:lpstr>
      </vt:variant>
      <vt:variant>
        <vt:i4>44</vt:i4>
      </vt:variant>
    </vt:vector>
  </HeadingPairs>
  <TitlesOfParts>
    <vt:vector size="77"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OperRes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lpstr>WorkCapRes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2023-05-16T22:16:47Z</cp:lastPrinted>
  <dcterms:created xsi:type="dcterms:W3CDTF">2005-09-15T20:51:37Z</dcterms:created>
  <dcterms:modified xsi:type="dcterms:W3CDTF">2023-05-19T15:17:19Z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