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C:\Users\ctaylor\Documents\CRAIG\2023--Veteran Projects\Augusta Phase III\2023 Application\Application Folders\2023-029FPAugIIIAppFldr\"/>
    </mc:Choice>
  </mc:AlternateContent>
  <workbookProtection workbookAlgorithmName="SHA-512" workbookHashValue="v70Tp6Of30WbIHn2aXJQbU4I7DX0EQwbCAYEFlIstVZn+oSYdfZvfDeDKiE20+aFPaBukCvRNDFlth/S/9mEGw==" workbookSaltValue="tj4P3B3cTgcc4HGdVjioeQ==" workbookSpinCount="100000" lockStructure="1"/>
  <bookViews>
    <workbookView xWindow="0" yWindow="0" windowWidth="21600" windowHeight="9000" tabRatio="872" firstSheet="8" activeTab="13"/>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74" l="1"/>
  <c r="H63" i="74" s="1"/>
  <c r="I63" i="74" s="1"/>
  <c r="D63" i="74"/>
  <c r="E63" i="74" s="1"/>
  <c r="F63" i="74" s="1"/>
  <c r="C63" i="74"/>
  <c r="B63" i="74"/>
  <c r="D31" i="74"/>
  <c r="E31" i="74" s="1"/>
  <c r="F31" i="74" s="1"/>
  <c r="G31" i="74" s="1"/>
  <c r="H31" i="74" s="1"/>
  <c r="I31" i="74" s="1"/>
  <c r="J31" i="74" s="1"/>
  <c r="K31" i="74" s="1"/>
  <c r="C31" i="74"/>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P179" i="102"/>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F840" i="103"/>
  <c r="E840" i="103"/>
  <c r="D840" i="103"/>
  <c r="C840" i="103"/>
  <c r="B840"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810" i="103"/>
  <c r="J810" i="103"/>
  <c r="I810" i="103"/>
  <c r="H810" i="103"/>
  <c r="G810" i="103"/>
  <c r="F810" i="103"/>
  <c r="E810" i="103"/>
  <c r="D810" i="103"/>
  <c r="C810" i="103"/>
  <c r="B810"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K779" i="103"/>
  <c r="J779" i="103"/>
  <c r="I779" i="103"/>
  <c r="H779" i="103"/>
  <c r="G779" i="103"/>
  <c r="F779" i="103"/>
  <c r="E779" i="103"/>
  <c r="D779" i="103"/>
  <c r="C779" i="103"/>
  <c r="B779" i="103"/>
  <c r="C747" i="103"/>
  <c r="D747" i="103"/>
  <c r="E747" i="103"/>
  <c r="F747" i="103"/>
  <c r="G747" i="103"/>
  <c r="H747" i="103"/>
  <c r="I747" i="103"/>
  <c r="J747" i="103"/>
  <c r="K747"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B747"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F827" i="103"/>
  <c r="F834" i="103" s="1"/>
  <c r="E827" i="103"/>
  <c r="D827" i="103"/>
  <c r="D834" i="103" s="1"/>
  <c r="C827" i="103"/>
  <c r="C834" i="103" s="1"/>
  <c r="B827" i="103"/>
  <c r="B834"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K797" i="103"/>
  <c r="K804" i="103" s="1"/>
  <c r="J797" i="103"/>
  <c r="J804" i="103" s="1"/>
  <c r="I797" i="103"/>
  <c r="H797" i="103"/>
  <c r="G797" i="103"/>
  <c r="G804" i="103" s="1"/>
  <c r="F797" i="103"/>
  <c r="F804" i="103" s="1"/>
  <c r="E797" i="103"/>
  <c r="D797" i="103"/>
  <c r="C797" i="103"/>
  <c r="C804" i="103" s="1"/>
  <c r="B797" i="103"/>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K765" i="103"/>
  <c r="K773" i="103" s="1"/>
  <c r="J765" i="103"/>
  <c r="J773" i="103" s="1"/>
  <c r="I765" i="103"/>
  <c r="H765" i="103"/>
  <c r="G765" i="103"/>
  <c r="F765" i="103"/>
  <c r="E765" i="103"/>
  <c r="D765" i="103"/>
  <c r="D773" i="103" s="1"/>
  <c r="C765" i="103"/>
  <c r="C773" i="103" s="1"/>
  <c r="B765" i="103"/>
  <c r="C737" i="103"/>
  <c r="D737" i="103"/>
  <c r="E737" i="103"/>
  <c r="F737" i="103"/>
  <c r="G737" i="103"/>
  <c r="H737" i="103"/>
  <c r="I737" i="103"/>
  <c r="J737" i="103"/>
  <c r="K737" i="103"/>
  <c r="B737" i="103"/>
  <c r="C733" i="103"/>
  <c r="D733" i="103"/>
  <c r="D741" i="103" s="1"/>
  <c r="E733" i="103"/>
  <c r="F733" i="103"/>
  <c r="G733" i="103"/>
  <c r="G741" i="103" s="1"/>
  <c r="H733" i="103"/>
  <c r="H741" i="103" s="1"/>
  <c r="I733" i="103"/>
  <c r="J733" i="103"/>
  <c r="K733" i="103"/>
  <c r="K741" i="103" s="1"/>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3" i="103"/>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P83"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BG1575" i="103" s="1"/>
  <c r="BG423" i="102"/>
  <c r="P66" i="102"/>
  <c r="P1217" i="103" s="1"/>
  <c r="BG1573" i="103" s="1"/>
  <c r="O1219" i="103"/>
  <c r="O66" i="102"/>
  <c r="O1217" i="103" s="1"/>
  <c r="AZ1573" i="103" s="1"/>
  <c r="BF440" i="102"/>
  <c r="E34" i="102"/>
  <c r="C1187" i="103"/>
  <c r="BH449" i="102"/>
  <c r="BH1600" i="103" s="1"/>
  <c r="R312" i="102"/>
  <c r="O1463" i="103"/>
  <c r="AY1591" i="103" s="1"/>
  <c r="AH449" i="102"/>
  <c r="AH1600" i="103" s="1"/>
  <c r="AJ449" i="102"/>
  <c r="AJ1600" i="103" s="1"/>
  <c r="BF432" i="102"/>
  <c r="P1351" i="103"/>
  <c r="BF1583" i="103" s="1"/>
  <c r="E21" i="102"/>
  <c r="E1172" i="103" s="1"/>
  <c r="O1351" i="103"/>
  <c r="L1351"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H777"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C741" i="103"/>
  <c r="C745"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I745"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E745"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B745" i="103"/>
  <c r="K743" i="103"/>
  <c r="K745" i="103"/>
  <c r="L76" i="103"/>
  <c r="S131" i="103"/>
  <c r="J659" i="103"/>
  <c r="L663" i="103"/>
  <c r="F694" i="103"/>
  <c r="L678" i="103"/>
  <c r="J745" i="103"/>
  <c r="F74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B804" i="103"/>
  <c r="I808" i="103"/>
  <c r="D804" i="103"/>
  <c r="H804"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E741" i="103"/>
  <c r="G745" i="103"/>
  <c r="BL1590" i="103"/>
  <c r="F808" i="103"/>
  <c r="J808" i="103"/>
  <c r="C838" i="103"/>
  <c r="AY1575" i="103"/>
  <c r="D154" i="103"/>
  <c r="V259" i="103"/>
  <c r="F150" i="103"/>
  <c r="H773" i="103"/>
  <c r="B808" i="103"/>
  <c r="D838"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B741" i="103"/>
  <c r="D721" i="103"/>
  <c r="F741" i="103"/>
  <c r="H745" i="103"/>
  <c r="E773" i="103"/>
  <c r="E777" i="103"/>
  <c r="I773" i="103"/>
  <c r="I777" i="103"/>
  <c r="J741" i="103"/>
  <c r="D745" i="103"/>
  <c r="D777" i="103"/>
  <c r="I741" i="103"/>
  <c r="C742" i="103"/>
  <c r="K742" i="103"/>
  <c r="E808" i="103"/>
  <c r="E804" i="103"/>
  <c r="I804" i="103"/>
  <c r="B777" i="103"/>
  <c r="F777" i="103"/>
  <c r="J777" i="103"/>
  <c r="F773" i="103"/>
  <c r="F805" i="103"/>
  <c r="C777" i="103"/>
  <c r="G777" i="103"/>
  <c r="K777" i="103"/>
  <c r="B773" i="103"/>
  <c r="G773" i="103"/>
  <c r="J805" i="103"/>
  <c r="E834" i="103"/>
  <c r="E838" i="103"/>
  <c r="C808" i="103"/>
  <c r="G808" i="103"/>
  <c r="K808" i="103"/>
  <c r="D808" i="103"/>
  <c r="H808" i="103"/>
  <c r="B838" i="103"/>
  <c r="F838"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AY1573" i="103" l="1"/>
  <c r="BB433" i="102"/>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M526" i="103" l="1"/>
  <c r="Q607" i="103"/>
  <c r="M529" i="103"/>
  <c r="M517" i="103"/>
  <c r="M535" i="103"/>
  <c r="M523" i="103"/>
  <c r="M618" i="103"/>
  <c r="Q612"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75" i="100"/>
  <c r="C58" i="100"/>
  <c r="C68" i="100"/>
  <c r="C66" i="100"/>
  <c r="C61" i="100"/>
  <c r="C60" i="100"/>
  <c r="C59" i="100"/>
  <c r="B32" i="100"/>
  <c r="C32" i="100"/>
  <c r="B33" i="100"/>
  <c r="C33" i="100"/>
  <c r="C31" i="100"/>
  <c r="B31" i="100"/>
  <c r="C25" i="100"/>
  <c r="B25" i="100"/>
  <c r="C753" i="103" l="1"/>
  <c r="B763" i="103"/>
  <c r="E16" i="100"/>
  <c r="F19" i="85" s="1"/>
  <c r="E8" i="100"/>
  <c r="C8" i="100"/>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C80"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8" i="95" l="1"/>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C40" i="95"/>
  <c r="C41" i="95"/>
  <c r="C39" i="95"/>
  <c r="C46" i="95"/>
  <c r="C45" i="95"/>
  <c r="C44" i="95"/>
  <c r="C42" i="95"/>
  <c r="C47" i="95"/>
  <c r="C43"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J25" i="75" s="1"/>
  <c r="J472" i="103" s="1"/>
  <c r="L472" i="103" s="1"/>
  <c r="M472" i="103" s="1"/>
  <c r="I22" i="76"/>
  <c r="J24" i="75" s="1"/>
  <c r="J471" i="103" s="1"/>
  <c r="L471" i="103" s="1"/>
  <c r="M471" i="103" s="1"/>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K91" i="74"/>
  <c r="D12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K29" i="74"/>
  <c r="J58" i="74"/>
  <c r="B120" i="74"/>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88" i="103"/>
  <c r="H76" i="74"/>
  <c r="H783" i="103" s="1"/>
  <c r="I76" i="74"/>
  <c r="I783" i="103" s="1"/>
  <c r="J76" i="74"/>
  <c r="J783" i="103" s="1"/>
  <c r="K76" i="74"/>
  <c r="K783" i="103" s="1"/>
  <c r="J19" i="75" l="1"/>
  <c r="J466" i="103" s="1"/>
  <c r="L466" i="103" s="1"/>
  <c r="M466" i="103" s="1"/>
  <c r="J26" i="75"/>
  <c r="J473" i="103" s="1"/>
  <c r="L473" i="103" s="1"/>
  <c r="M473" i="103" s="1"/>
  <c r="J22" i="75"/>
  <c r="J469" i="103" s="1"/>
  <c r="L469" i="103" s="1"/>
  <c r="M469" i="103" s="1"/>
  <c r="J18" i="75"/>
  <c r="J465" i="103" s="1"/>
  <c r="L465" i="103" s="1"/>
  <c r="M4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58" i="74"/>
  <c r="J90" i="74"/>
  <c r="J97" i="74" s="1"/>
  <c r="F58" i="74"/>
  <c r="E26" i="74"/>
  <c r="D58" i="74"/>
  <c r="H58" i="74"/>
  <c r="E58" i="74"/>
  <c r="I90" i="74"/>
  <c r="G90" i="74"/>
  <c r="G58" i="74"/>
  <c r="J26" i="74"/>
  <c r="F90" i="74"/>
  <c r="B58" i="74"/>
  <c r="E120" i="74"/>
  <c r="K26" i="74"/>
  <c r="K34" i="74" s="1"/>
  <c r="E90" i="74"/>
  <c r="D26" i="74"/>
  <c r="C90" i="74"/>
  <c r="C58" i="74"/>
  <c r="F26" i="74"/>
  <c r="F120" i="74"/>
  <c r="B90" i="74"/>
  <c r="H90" i="74"/>
  <c r="C26" i="74"/>
  <c r="I58" i="74"/>
  <c r="D90" i="74"/>
  <c r="G26" i="74"/>
  <c r="C120" i="74"/>
  <c r="C32" i="74"/>
  <c r="D14" i="86" s="1"/>
  <c r="K27" i="87"/>
  <c r="H40" i="87"/>
  <c r="H13" i="87"/>
  <c r="H28" i="87"/>
  <c r="H42" i="87"/>
  <c r="H33" i="87"/>
  <c r="H18" i="87"/>
  <c r="H31" i="87"/>
  <c r="K24" i="87"/>
  <c r="H22" i="87"/>
  <c r="C12" i="86"/>
  <c r="H26" i="87"/>
  <c r="H44" i="87"/>
  <c r="H17" i="87"/>
  <c r="H30" i="87"/>
  <c r="H12" i="87"/>
  <c r="H41" i="87"/>
  <c r="H21" i="87"/>
  <c r="H35" i="87"/>
  <c r="H66" i="74"/>
  <c r="G97" i="74"/>
  <c r="F97" i="74"/>
  <c r="H32" i="87"/>
  <c r="H23" i="87"/>
  <c r="H20" i="87"/>
  <c r="H34" i="87"/>
  <c r="H16" i="87"/>
  <c r="H10" i="87"/>
  <c r="H25" i="87"/>
  <c r="H39" i="87"/>
  <c r="C11" i="86"/>
  <c r="H15" i="87"/>
  <c r="D34" i="74"/>
  <c r="C69" i="74"/>
  <c r="H36" i="87"/>
  <c r="H24" i="87"/>
  <c r="H38" i="87"/>
  <c r="H27" i="87"/>
  <c r="H14" i="87"/>
  <c r="H29" i="87"/>
  <c r="H97" i="74"/>
  <c r="C34"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C40" i="74"/>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I97" i="74"/>
  <c r="B37" i="87"/>
  <c r="I69" i="74"/>
  <c r="B38" i="87"/>
  <c r="J99" i="74"/>
  <c r="H34" i="74"/>
  <c r="B16" i="87"/>
  <c r="F99" i="74"/>
  <c r="B14" i="87"/>
  <c r="B34" i="87"/>
  <c r="B11" i="87"/>
  <c r="C128" i="74"/>
  <c r="E41" i="87"/>
  <c r="E21" i="87"/>
  <c r="F84" i="92"/>
  <c r="B66" i="74"/>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B44" i="87"/>
  <c r="E34" i="74"/>
  <c r="B13" i="87"/>
  <c r="H99" i="74"/>
  <c r="B36" i="87"/>
  <c r="E39" i="87"/>
  <c r="B32" i="87"/>
  <c r="C127" i="74"/>
  <c r="B41" i="87"/>
  <c r="K97" i="74"/>
  <c r="B39" i="87"/>
  <c r="B40" i="87"/>
  <c r="J66" i="74"/>
  <c r="B28" i="87"/>
  <c r="B129" i="74"/>
  <c r="J68" i="74"/>
  <c r="E99" i="74"/>
  <c r="F69" i="74"/>
  <c r="B33" i="87"/>
  <c r="D68" i="74"/>
  <c r="E16" i="87"/>
  <c r="B35" i="87"/>
  <c r="B22" i="87"/>
  <c r="B26" i="87"/>
  <c r="L266" i="72"/>
  <c r="I34" i="74"/>
  <c r="G66" i="74"/>
  <c r="E108" i="78"/>
  <c r="E221" i="103" s="1"/>
  <c r="J221" i="103" s="1"/>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C97" i="74"/>
  <c r="D10" i="86"/>
  <c r="F55" i="78"/>
  <c r="B5" i="92"/>
  <c r="J21" i="75"/>
  <c r="J468" i="103" s="1"/>
  <c r="L468" i="103" s="1"/>
  <c r="M468" i="103" s="1"/>
  <c r="F40" i="78"/>
  <c r="D32" i="74"/>
  <c r="F38" i="78"/>
  <c r="J23" i="75"/>
  <c r="J470" i="103" s="1"/>
  <c r="L470" i="103" s="1"/>
  <c r="M470" i="103" s="1"/>
  <c r="I32" i="74"/>
  <c r="H32" i="74"/>
  <c r="C21" i="90"/>
  <c r="G32" i="74"/>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H38" i="74"/>
  <c r="B121" i="74"/>
  <c r="E121" i="74"/>
  <c r="B59" i="74"/>
  <c r="B91" i="74"/>
  <c r="E127" i="74"/>
  <c r="K99" i="74"/>
  <c r="H52" i="86"/>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738" i="103"/>
  <c r="H16" i="86"/>
  <c r="I16" i="86"/>
  <c r="F32" i="74"/>
  <c r="G51" i="86"/>
  <c r="C52" i="86"/>
  <c r="I31" i="86"/>
  <c r="G52" i="86"/>
  <c r="D51" i="86"/>
  <c r="H51" i="86"/>
  <c r="B32"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A68" i="85"/>
  <c r="L18" i="75" l="1"/>
  <c r="M18" i="75" s="1"/>
  <c r="L22" i="75"/>
  <c r="M22" i="75" s="1"/>
  <c r="M496" i="103"/>
  <c r="M497" i="103" s="1"/>
  <c r="A22" i="83"/>
  <c r="P95" i="103"/>
  <c r="P94" i="103"/>
  <c r="I105" i="103"/>
  <c r="E739" i="103"/>
  <c r="B739" i="103"/>
  <c r="B44" i="74"/>
  <c r="B751" i="103" s="1"/>
  <c r="F739" i="103"/>
  <c r="E771" i="103"/>
  <c r="C771" i="103"/>
  <c r="C739" i="103"/>
  <c r="F771" i="103"/>
  <c r="D771" i="103"/>
  <c r="H739" i="103"/>
  <c r="D739" i="103"/>
  <c r="K739" i="103"/>
  <c r="B771" i="103"/>
  <c r="J739" i="103"/>
  <c r="G739" i="103"/>
  <c r="I739"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P67" i="85"/>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A67" i="85"/>
  <c r="P96" i="103" l="1"/>
  <c r="L35" i="68"/>
  <c r="C44" i="74"/>
  <c r="A21" i="8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H7" i="100" l="1"/>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AT49" i="72"/>
  <c r="F738" i="103"/>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E722" i="103" l="1"/>
  <c r="G722" i="103"/>
  <c r="D722" i="103"/>
  <c r="F722" i="103"/>
  <c r="C722" i="103"/>
  <c r="J284" i="103"/>
  <c r="E751" i="103"/>
  <c r="F44" i="74"/>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L103" i="72"/>
  <c r="L113" i="72"/>
  <c r="L378" i="72"/>
  <c r="K225" i="72"/>
  <c r="P48" i="78"/>
  <c r="J48" i="78"/>
  <c r="J57" i="78"/>
  <c r="J365" i="72"/>
  <c r="J366" i="72" s="1"/>
  <c r="M442" i="72"/>
  <c r="E343" i="73"/>
  <c r="N343" i="73" s="1"/>
  <c r="H40" i="74"/>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722" i="103" l="1"/>
  <c r="B22" i="74"/>
  <c r="K8" i="74" s="1"/>
  <c r="K715" i="103" s="1"/>
  <c r="H53" i="82"/>
  <c r="H738" i="103"/>
  <c r="B23" i="74"/>
  <c r="N235" i="75"/>
  <c r="Q235" i="75"/>
  <c r="E174" i="90"/>
  <c r="E175" i="90" s="1"/>
  <c r="Q682" i="103"/>
  <c r="AD238" i="103"/>
  <c r="AF238" i="103" s="1"/>
  <c r="F751" i="103"/>
  <c r="G44" i="74"/>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G66" i="84"/>
  <c r="K66" i="84"/>
  <c r="C23" i="74"/>
  <c r="P57" i="78"/>
  <c r="G148" i="78"/>
  <c r="K13" i="84"/>
  <c r="M366" i="72"/>
  <c r="M367" i="72" s="1"/>
  <c r="G54" i="78"/>
  <c r="I56" i="84"/>
  <c r="I64" i="84" s="1"/>
  <c r="I40" i="74"/>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I24" i="74"/>
  <c r="I731" i="103" s="1"/>
  <c r="J14" i="74"/>
  <c r="I16" i="74"/>
  <c r="I723" i="103" s="1"/>
  <c r="I15" i="74"/>
  <c r="A9" i="83"/>
  <c r="F22" i="74" l="1"/>
  <c r="F729" i="103" s="1"/>
  <c r="H22" i="74"/>
  <c r="H729" i="103" s="1"/>
  <c r="I722" i="103"/>
  <c r="E22" i="74"/>
  <c r="E729" i="103" s="1"/>
  <c r="Q667" i="103"/>
  <c r="B729" i="103"/>
  <c r="Q220" i="75"/>
  <c r="G22" i="74"/>
  <c r="G729" i="103" s="1"/>
  <c r="D22" i="74"/>
  <c r="D729" i="103" s="1"/>
  <c r="C22" i="74"/>
  <c r="C729" i="103" s="1"/>
  <c r="C730" i="103"/>
  <c r="B730" i="103"/>
  <c r="J738" i="103"/>
  <c r="D23" i="74"/>
  <c r="H23" i="74"/>
  <c r="E23" i="74"/>
  <c r="G23" i="74"/>
  <c r="I23" i="74"/>
  <c r="I730" i="103" s="1"/>
  <c r="F23" i="74"/>
  <c r="C13" i="86"/>
  <c r="G751" i="103"/>
  <c r="H44" i="74"/>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D13" i="86"/>
  <c r="C30" i="86"/>
  <c r="C20" i="74"/>
  <c r="C20" i="84"/>
  <c r="H20" i="84"/>
  <c r="J40" i="74"/>
  <c r="E20" i="74"/>
  <c r="E727" i="103" s="1"/>
  <c r="D20" i="74"/>
  <c r="D727" i="103" s="1"/>
  <c r="G56" i="84"/>
  <c r="G64" i="84" s="1"/>
  <c r="F20" i="74"/>
  <c r="F727" i="103" s="1"/>
  <c r="K14" i="74"/>
  <c r="J24" i="74"/>
  <c r="J731" i="103" s="1"/>
  <c r="J15" i="74"/>
  <c r="J16" i="74"/>
  <c r="J723" i="103" s="1"/>
  <c r="J23" i="74"/>
  <c r="J730" i="103" s="1"/>
  <c r="I17" i="74"/>
  <c r="I724" i="103" s="1"/>
  <c r="H20" i="74"/>
  <c r="H727" i="103" s="1"/>
  <c r="I22" i="74" l="1"/>
  <c r="I729" i="103" s="1"/>
  <c r="Q228" i="75"/>
  <c r="C68" i="84"/>
  <c r="O221" i="75"/>
  <c r="O222" i="75"/>
  <c r="O668" i="103"/>
  <c r="Q675" i="103"/>
  <c r="O669" i="103"/>
  <c r="J722" i="103"/>
  <c r="E730" i="103"/>
  <c r="F730" i="103"/>
  <c r="H730" i="103"/>
  <c r="G730" i="103"/>
  <c r="D730" i="103"/>
  <c r="J53" i="82"/>
  <c r="K738" i="103"/>
  <c r="I13" i="86"/>
  <c r="C33" i="86"/>
  <c r="E13" i="86"/>
  <c r="F13" i="86"/>
  <c r="H13" i="86"/>
  <c r="G13" i="86"/>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J178" i="78"/>
  <c r="J180" i="78" s="1"/>
  <c r="I20" i="74"/>
  <c r="I727" i="103" s="1"/>
  <c r="K24" i="74"/>
  <c r="K731" i="103" s="1"/>
  <c r="B46" i="74"/>
  <c r="K15" i="74"/>
  <c r="K16" i="74"/>
  <c r="K723" i="103" s="1"/>
  <c r="K23" i="74"/>
  <c r="K730" i="103" s="1"/>
  <c r="D33" i="86"/>
  <c r="K53" i="82"/>
  <c r="J17" i="74"/>
  <c r="J724" i="103" s="1"/>
  <c r="P676" i="103" l="1"/>
  <c r="N675" i="103"/>
  <c r="Q694" i="103"/>
  <c r="J22" i="74"/>
  <c r="K68" i="84"/>
  <c r="K70" i="84" s="1"/>
  <c r="G68" i="84"/>
  <c r="G70" i="84" s="1"/>
  <c r="E68" i="84"/>
  <c r="E70" i="84" s="1"/>
  <c r="I68" i="84"/>
  <c r="I70" i="84" s="1"/>
  <c r="C70" i="84"/>
  <c r="K722" i="103"/>
  <c r="F131" i="78"/>
  <c r="F244" i="103" s="1"/>
  <c r="B21" i="74"/>
  <c r="F130" i="78"/>
  <c r="F243" i="103" s="1"/>
  <c r="P229" i="75"/>
  <c r="N228" i="75"/>
  <c r="Q247" i="75"/>
  <c r="B770" i="103"/>
  <c r="I751" i="103"/>
  <c r="J44" i="74"/>
  <c r="E30" i="86"/>
  <c r="B15" i="82"/>
  <c r="J183" i="78"/>
  <c r="M189" i="78" s="1"/>
  <c r="B72" i="74"/>
  <c r="J20" i="74"/>
  <c r="J727" i="103" s="1"/>
  <c r="K17" i="74"/>
  <c r="K724" i="103" s="1"/>
  <c r="C46" i="74"/>
  <c r="B56" i="74"/>
  <c r="B48" i="74"/>
  <c r="B755" i="103" s="1"/>
  <c r="B47" i="74"/>
  <c r="B55" i="74"/>
  <c r="B762" i="103" s="1"/>
  <c r="C770" i="103"/>
  <c r="B73" i="82"/>
  <c r="E33" i="86"/>
  <c r="G76" i="84" l="1"/>
  <c r="G73" i="84" s="1"/>
  <c r="G72" i="84"/>
  <c r="K22" i="74"/>
  <c r="C72" i="84"/>
  <c r="C76" i="84"/>
  <c r="C73" i="84" s="1"/>
  <c r="K72" i="84"/>
  <c r="K76" i="84"/>
  <c r="K73" i="84" s="1"/>
  <c r="B754" i="103"/>
  <c r="B728" i="103"/>
  <c r="F21" i="74"/>
  <c r="D21" i="74"/>
  <c r="C21" i="74"/>
  <c r="E21" i="74"/>
  <c r="G21" i="74"/>
  <c r="H21" i="74"/>
  <c r="I21" i="74"/>
  <c r="B39" i="74"/>
  <c r="B25" i="74"/>
  <c r="J21" i="74"/>
  <c r="J728" i="103" s="1"/>
  <c r="J746" i="103" s="1"/>
  <c r="K21" i="74"/>
  <c r="K728" i="103" s="1"/>
  <c r="E76" i="84"/>
  <c r="E73" i="84" s="1"/>
  <c r="E72" i="84"/>
  <c r="B53" i="74"/>
  <c r="B760" i="103" s="1"/>
  <c r="I76" i="84"/>
  <c r="I73" i="84" s="1"/>
  <c r="I72" i="84"/>
  <c r="J729" i="103"/>
  <c r="J751" i="103"/>
  <c r="K44" i="74"/>
  <c r="F30" i="86"/>
  <c r="C72" i="74"/>
  <c r="J25" i="74"/>
  <c r="C73" i="82"/>
  <c r="D770" i="103"/>
  <c r="C48" i="74"/>
  <c r="C755" i="103" s="1"/>
  <c r="C56" i="74"/>
  <c r="D46" i="74"/>
  <c r="C47" i="74"/>
  <c r="C53" i="74"/>
  <c r="C55" i="74"/>
  <c r="C762" i="103" s="1"/>
  <c r="B49" i="74"/>
  <c r="B756" i="103" s="1"/>
  <c r="F33" i="86"/>
  <c r="K20" i="74"/>
  <c r="K727" i="103" s="1"/>
  <c r="H728" i="103" l="1"/>
  <c r="H39" i="74"/>
  <c r="H25" i="74"/>
  <c r="D728" i="103"/>
  <c r="D39" i="74"/>
  <c r="D25" i="74"/>
  <c r="K729" i="103"/>
  <c r="K732" i="103" s="1"/>
  <c r="K740" i="103" s="1"/>
  <c r="K39" i="74"/>
  <c r="B44" i="82"/>
  <c r="B33" i="74"/>
  <c r="G728" i="103"/>
  <c r="G39" i="74"/>
  <c r="G25" i="74"/>
  <c r="F728" i="103"/>
  <c r="F25" i="74"/>
  <c r="F39" i="74"/>
  <c r="E728" i="103"/>
  <c r="E39" i="74"/>
  <c r="E25" i="74"/>
  <c r="B746" i="103"/>
  <c r="B732" i="103"/>
  <c r="B740" i="103" s="1"/>
  <c r="C754" i="103"/>
  <c r="J39" i="74"/>
  <c r="J732" i="103"/>
  <c r="J740" i="103" s="1"/>
  <c r="I728" i="103"/>
  <c r="I39" i="74"/>
  <c r="I25" i="74"/>
  <c r="C728" i="103"/>
  <c r="C39" i="74"/>
  <c r="C25" i="74"/>
  <c r="B54" i="74"/>
  <c r="C760" i="103"/>
  <c r="K751" i="103"/>
  <c r="B76" i="74"/>
  <c r="G30" i="86"/>
  <c r="D72" i="74"/>
  <c r="J33" i="74"/>
  <c r="J44" i="82"/>
  <c r="J46" i="82" s="1"/>
  <c r="E46" i="74"/>
  <c r="D56" i="74"/>
  <c r="D48" i="74"/>
  <c r="D755" i="103" s="1"/>
  <c r="D47" i="74"/>
  <c r="D53" i="74"/>
  <c r="D55" i="74"/>
  <c r="D762" i="103" s="1"/>
  <c r="E770" i="103"/>
  <c r="D73" i="82"/>
  <c r="G33" i="86"/>
  <c r="K25" i="74"/>
  <c r="B52" i="74"/>
  <c r="B759" i="103" s="1"/>
  <c r="C49" i="74"/>
  <c r="C756" i="103" s="1"/>
  <c r="K746" i="103" l="1"/>
  <c r="C746" i="103"/>
  <c r="C732" i="103"/>
  <c r="C740" i="103" s="1"/>
  <c r="E44" i="82"/>
  <c r="E33" i="74"/>
  <c r="F9" i="86" s="1"/>
  <c r="F17" i="86" s="1"/>
  <c r="F18" i="86" s="1"/>
  <c r="F20" i="86" s="1"/>
  <c r="F24" i="86" s="1"/>
  <c r="K9" i="86" s="1"/>
  <c r="F44" i="82"/>
  <c r="F33" i="74"/>
  <c r="G9" i="86" s="1"/>
  <c r="G17" i="86" s="1"/>
  <c r="G18" i="86" s="1"/>
  <c r="G20" i="86" s="1"/>
  <c r="G24" i="86" s="1"/>
  <c r="K10" i="86" s="1"/>
  <c r="G732" i="103"/>
  <c r="G740" i="103" s="1"/>
  <c r="G746" i="103"/>
  <c r="H44" i="82"/>
  <c r="H33" i="74"/>
  <c r="I9" i="86" s="1"/>
  <c r="I17" i="86" s="1"/>
  <c r="I18" i="86" s="1"/>
  <c r="I20" i="86" s="1"/>
  <c r="I24" i="86" s="1"/>
  <c r="K12" i="86" s="1"/>
  <c r="B761" i="103"/>
  <c r="B778" i="103" s="1"/>
  <c r="B71" i="74"/>
  <c r="I33" i="74"/>
  <c r="C29" i="86" s="1"/>
  <c r="C37" i="86" s="1"/>
  <c r="C38" i="86" s="1"/>
  <c r="C40" i="86" s="1"/>
  <c r="C44" i="86" s="1"/>
  <c r="K13" i="86" s="1"/>
  <c r="I44" i="82"/>
  <c r="F732" i="103"/>
  <c r="F740" i="103" s="1"/>
  <c r="F746" i="103"/>
  <c r="C9" i="86"/>
  <c r="C17" i="86" s="1"/>
  <c r="C18" i="86" s="1"/>
  <c r="C20" i="86" s="1"/>
  <c r="C24" i="86" s="1"/>
  <c r="K6" i="86" s="1"/>
  <c r="G66" i="86" s="1"/>
  <c r="N92" i="85" s="1"/>
  <c r="S21" i="74"/>
  <c r="D44" i="82"/>
  <c r="D33" i="74"/>
  <c r="E9" i="86" s="1"/>
  <c r="E17" i="86" s="1"/>
  <c r="E18" i="86" s="1"/>
  <c r="E20" i="86" s="1"/>
  <c r="E24" i="86" s="1"/>
  <c r="K8" i="86" s="1"/>
  <c r="C33" i="74"/>
  <c r="S22" i="74" s="1"/>
  <c r="C44" i="82"/>
  <c r="E732" i="103"/>
  <c r="E740" i="103" s="1"/>
  <c r="E746" i="103"/>
  <c r="G44" i="82"/>
  <c r="G33" i="74"/>
  <c r="H9" i="86" s="1"/>
  <c r="H17" i="86" s="1"/>
  <c r="H18" i="86" s="1"/>
  <c r="H20" i="86" s="1"/>
  <c r="H24" i="86" s="1"/>
  <c r="K11" i="86" s="1"/>
  <c r="B51" i="82"/>
  <c r="B46" i="82"/>
  <c r="H732" i="103"/>
  <c r="H740" i="103" s="1"/>
  <c r="H746" i="103"/>
  <c r="D754" i="103"/>
  <c r="I746" i="103"/>
  <c r="I732" i="103"/>
  <c r="I740" i="103" s="1"/>
  <c r="C54" i="74"/>
  <c r="D732" i="103"/>
  <c r="D740" i="103" s="1"/>
  <c r="D746" i="103"/>
  <c r="D760" i="103"/>
  <c r="B783" i="103"/>
  <c r="C76" i="74"/>
  <c r="H30" i="86"/>
  <c r="E72" i="74"/>
  <c r="J51" i="82"/>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B764" i="103" l="1"/>
  <c r="B772" i="103" s="1"/>
  <c r="E754" i="103"/>
  <c r="C46" i="82"/>
  <c r="C51" i="82"/>
  <c r="D46" i="82"/>
  <c r="D51" i="82"/>
  <c r="S26" i="74"/>
  <c r="D54" i="74"/>
  <c r="S25" i="74"/>
  <c r="E46" i="82"/>
  <c r="E51" i="82"/>
  <c r="C761" i="103"/>
  <c r="C778" i="103" s="1"/>
  <c r="C71" i="74"/>
  <c r="S23" i="74"/>
  <c r="I51" i="82"/>
  <c r="I46" i="82"/>
  <c r="H51" i="82"/>
  <c r="H46" i="82"/>
  <c r="F51" i="82"/>
  <c r="F46" i="82"/>
  <c r="S29" i="74"/>
  <c r="G51" i="82"/>
  <c r="G46" i="82"/>
  <c r="D9" i="86"/>
  <c r="D17" i="86" s="1"/>
  <c r="D18" i="86" s="1"/>
  <c r="D20" i="86" s="1"/>
  <c r="D24" i="86" s="1"/>
  <c r="K7" i="86" s="1"/>
  <c r="S28" i="74"/>
  <c r="S27" i="74"/>
  <c r="S24" i="74"/>
  <c r="E760" i="103"/>
  <c r="C783" i="103"/>
  <c r="D76" i="74"/>
  <c r="I30" i="86"/>
  <c r="F72" i="74"/>
  <c r="C57" i="74"/>
  <c r="D52" i="74"/>
  <c r="D759" i="103" s="1"/>
  <c r="F56" i="74"/>
  <c r="F48" i="74"/>
  <c r="F755" i="103" s="1"/>
  <c r="F47" i="74"/>
  <c r="G46" i="74"/>
  <c r="F53" i="74"/>
  <c r="F55" i="74"/>
  <c r="F762" i="103" s="1"/>
  <c r="E49" i="74"/>
  <c r="E756" i="103" s="1"/>
  <c r="E29" i="86"/>
  <c r="S30" i="74"/>
  <c r="F73" i="82"/>
  <c r="G770" i="103"/>
  <c r="K51" i="82"/>
  <c r="K46" i="82"/>
  <c r="I33" i="86"/>
  <c r="B64" i="82"/>
  <c r="B65" i="74"/>
  <c r="B25" i="82" l="1"/>
  <c r="F72" i="82" s="1"/>
  <c r="C764" i="103"/>
  <c r="C772" i="103" s="1"/>
  <c r="F754" i="103"/>
  <c r="D761" i="103"/>
  <c r="D778" i="103" s="1"/>
  <c r="D71" i="74"/>
  <c r="E54" i="74"/>
  <c r="F760" i="103"/>
  <c r="D783" i="103"/>
  <c r="E76" i="74"/>
  <c r="C50" i="86"/>
  <c r="G72" i="74"/>
  <c r="C64" i="82"/>
  <c r="C66" i="82" s="1"/>
  <c r="C65" i="74"/>
  <c r="E52" i="74"/>
  <c r="E759" i="103" s="1"/>
  <c r="C72" i="82"/>
  <c r="J72" i="82"/>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I72" i="82" l="1"/>
  <c r="K72" i="82"/>
  <c r="B26" i="82"/>
  <c r="B5" i="82" s="1"/>
  <c r="B6" i="82" s="1"/>
  <c r="B7" i="82" s="1"/>
  <c r="F52" i="82"/>
  <c r="F54" i="82" s="1"/>
  <c r="F55" i="82" s="1"/>
  <c r="F56" i="82" s="1"/>
  <c r="E52" i="82"/>
  <c r="E54" i="82" s="1"/>
  <c r="E72" i="82"/>
  <c r="D52" i="82"/>
  <c r="D54" i="82" s="1"/>
  <c r="D55" i="82" s="1"/>
  <c r="D56" i="82" s="1"/>
  <c r="H52" i="82"/>
  <c r="H54" i="82" s="1"/>
  <c r="H55" i="82" s="1"/>
  <c r="H56" i="82" s="1"/>
  <c r="K52" i="82"/>
  <c r="K54" i="82" s="1"/>
  <c r="J52" i="82"/>
  <c r="J54" i="82" s="1"/>
  <c r="H72" i="82"/>
  <c r="B52" i="82"/>
  <c r="B54" i="82" s="1"/>
  <c r="B55" i="82" s="1"/>
  <c r="B56" i="82" s="1"/>
  <c r="G72" i="82"/>
  <c r="C52" i="82"/>
  <c r="C54" i="82" s="1"/>
  <c r="C55" i="82" s="1"/>
  <c r="C56" i="82" s="1"/>
  <c r="I52" i="82"/>
  <c r="I54" i="82" s="1"/>
  <c r="I55" i="82" s="1"/>
  <c r="I56" i="82" s="1"/>
  <c r="D72" i="82"/>
  <c r="G52" i="82"/>
  <c r="G54" i="82" s="1"/>
  <c r="B72" i="82"/>
  <c r="B74" i="82" s="1"/>
  <c r="B75" i="82" s="1"/>
  <c r="D764" i="103"/>
  <c r="D772" i="103" s="1"/>
  <c r="G754" i="103"/>
  <c r="F54" i="74"/>
  <c r="E761" i="103"/>
  <c r="E778" i="103" s="1"/>
  <c r="E71" i="74"/>
  <c r="G760" i="103"/>
  <c r="E783" i="103"/>
  <c r="F76" i="74"/>
  <c r="D50" i="86"/>
  <c r="H72" i="74"/>
  <c r="G29" i="86"/>
  <c r="G37" i="86" s="1"/>
  <c r="G38" i="86" s="1"/>
  <c r="G40" i="86" s="1"/>
  <c r="G44" i="86" s="1"/>
  <c r="K17" i="86" s="1"/>
  <c r="C71" i="82"/>
  <c r="C74" i="82" s="1"/>
  <c r="C75" i="82" s="1"/>
  <c r="C76" i="82" s="1"/>
  <c r="S32" i="74"/>
  <c r="E57" i="74"/>
  <c r="J55" i="82"/>
  <c r="J56" i="82" s="1"/>
  <c r="H73" i="82"/>
  <c r="I770" i="103"/>
  <c r="K55" i="82"/>
  <c r="K56" i="82" s="1"/>
  <c r="G55" i="82"/>
  <c r="G56" i="82" s="1"/>
  <c r="H56" i="74"/>
  <c r="H47" i="74"/>
  <c r="H48" i="74"/>
  <c r="H755" i="103" s="1"/>
  <c r="I46" i="74"/>
  <c r="H53" i="74"/>
  <c r="H55" i="74"/>
  <c r="H762" i="103" s="1"/>
  <c r="D53" i="86"/>
  <c r="F52" i="74"/>
  <c r="F759" i="103" s="1"/>
  <c r="F37" i="86"/>
  <c r="F38" i="86" s="1"/>
  <c r="F40" i="86" s="1"/>
  <c r="F44" i="86" s="1"/>
  <c r="K16" i="86" s="1"/>
  <c r="E55" i="82"/>
  <c r="E56" i="82" s="1"/>
  <c r="G49" i="74"/>
  <c r="G756" i="103" s="1"/>
  <c r="D65" i="74"/>
  <c r="D64" i="82"/>
  <c r="B9" i="82" l="1"/>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764" i="103"/>
  <c r="E772" i="103" s="1"/>
  <c r="G54" i="74"/>
  <c r="H754" i="103"/>
  <c r="F761" i="103"/>
  <c r="F778" i="103" s="1"/>
  <c r="F71" i="74"/>
  <c r="H760" i="103"/>
  <c r="F783" i="103"/>
  <c r="G76" i="74"/>
  <c r="G783" i="103" s="1"/>
  <c r="D57" i="86"/>
  <c r="D58" i="86" s="1"/>
  <c r="D60" i="86" s="1"/>
  <c r="D64" i="86" s="1"/>
  <c r="K21" i="86" s="1"/>
  <c r="E50" i="86"/>
  <c r="I72" i="74"/>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770" i="103"/>
  <c r="I73" i="82"/>
  <c r="F57" i="74"/>
  <c r="H54" i="74" l="1"/>
  <c r="I754" i="103"/>
  <c r="G761" i="103"/>
  <c r="G778" i="103" s="1"/>
  <c r="G71" i="74"/>
  <c r="F764" i="103"/>
  <c r="F772" i="103" s="1"/>
  <c r="I760" i="103"/>
  <c r="E57" i="86"/>
  <c r="E58" i="86" s="1"/>
  <c r="E60" i="86" s="1"/>
  <c r="E64" i="86" s="1"/>
  <c r="K22" i="86" s="1"/>
  <c r="F50" i="86"/>
  <c r="J72" i="74"/>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J754" i="103" l="1"/>
  <c r="G764" i="103"/>
  <c r="G772" i="103" s="1"/>
  <c r="H761" i="103"/>
  <c r="H778" i="103" s="1"/>
  <c r="H71" i="74"/>
  <c r="I54" i="74"/>
  <c r="J760" i="103"/>
  <c r="F57" i="86"/>
  <c r="F58" i="86" s="1"/>
  <c r="F60" i="86" s="1"/>
  <c r="F64" i="86" s="1"/>
  <c r="K23" i="86" s="1"/>
  <c r="G50" i="86"/>
  <c r="K72" i="74"/>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64" i="103" l="1"/>
  <c r="H772" i="103" s="1"/>
  <c r="I761" i="103"/>
  <c r="I778" i="103" s="1"/>
  <c r="I71" i="74"/>
  <c r="K754" i="103"/>
  <c r="J54" i="74"/>
  <c r="I764" i="103"/>
  <c r="I772" i="103" s="1"/>
  <c r="K760" i="103"/>
  <c r="G57" i="86"/>
  <c r="G58" i="86" s="1"/>
  <c r="G60" i="86" s="1"/>
  <c r="G64" i="86" s="1"/>
  <c r="K24" i="86" s="1"/>
  <c r="B103" i="74"/>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K54" i="74" l="1"/>
  <c r="K761" i="103" s="1"/>
  <c r="K778" i="103" s="1"/>
  <c r="B786" i="103"/>
  <c r="J761" i="103"/>
  <c r="J778" i="103" s="1"/>
  <c r="J71" i="74"/>
  <c r="B792" i="103"/>
  <c r="H57" i="86"/>
  <c r="H58" i="86" s="1"/>
  <c r="H60" i="86" s="1"/>
  <c r="H64" i="86" s="1"/>
  <c r="K25" i="86" s="1"/>
  <c r="C86" i="90"/>
  <c r="F61" i="89"/>
  <c r="C103" i="74"/>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64" i="103" l="1"/>
  <c r="K772" i="103" s="1"/>
  <c r="K71" i="74"/>
  <c r="J764" i="103"/>
  <c r="J772" i="103" s="1"/>
  <c r="C786" i="103"/>
  <c r="B86" i="74"/>
  <c r="C792" i="103"/>
  <c r="D103" i="74"/>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B793" i="103" l="1"/>
  <c r="B809" i="103" s="1"/>
  <c r="B102" i="74"/>
  <c r="C86" i="74"/>
  <c r="D786" i="103"/>
  <c r="B796" i="103"/>
  <c r="B803" i="103" s="1"/>
  <c r="D792" i="103"/>
  <c r="E103" i="74"/>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E786" i="103" l="1"/>
  <c r="C793" i="103"/>
  <c r="C809" i="103" s="1"/>
  <c r="C102" i="74"/>
  <c r="D86" i="74"/>
  <c r="E792" i="103"/>
  <c r="F103" i="74"/>
  <c r="B96" i="74"/>
  <c r="C89" i="74"/>
  <c r="D84" i="74"/>
  <c r="D791" i="103" s="1"/>
  <c r="E81" i="74"/>
  <c r="E788" i="103" s="1"/>
  <c r="K71" i="82"/>
  <c r="K74" i="82" s="1"/>
  <c r="K66" i="82"/>
  <c r="F88" i="74"/>
  <c r="G78" i="74"/>
  <c r="F80" i="74"/>
  <c r="F787" i="103" s="1"/>
  <c r="F79" i="74"/>
  <c r="F85" i="74"/>
  <c r="F87" i="74"/>
  <c r="F794" i="103" s="1"/>
  <c r="S40" i="74"/>
  <c r="G95" i="74"/>
  <c r="G802" i="103" s="1"/>
  <c r="D793" i="103" l="1"/>
  <c r="D809" i="103" s="1"/>
  <c r="D102" i="74"/>
  <c r="C796" i="103"/>
  <c r="C803" i="103" s="1"/>
  <c r="E86" i="74"/>
  <c r="F786" i="103"/>
  <c r="F792" i="103"/>
  <c r="G103" i="74"/>
  <c r="C96" i="74"/>
  <c r="E84" i="74"/>
  <c r="E791" i="103" s="1"/>
  <c r="G79" i="74"/>
  <c r="G88" i="74"/>
  <c r="G80" i="74"/>
  <c r="G787" i="103" s="1"/>
  <c r="H78" i="74"/>
  <c r="G85" i="74"/>
  <c r="G87" i="74"/>
  <c r="G794" i="103" s="1"/>
  <c r="K75" i="82"/>
  <c r="K76" i="82" s="1"/>
  <c r="H95" i="74"/>
  <c r="H802" i="103" s="1"/>
  <c r="F81" i="74"/>
  <c r="F788" i="103" s="1"/>
  <c r="D89" i="74"/>
  <c r="D796" i="103" l="1"/>
  <c r="D803" i="103" s="1"/>
  <c r="F86" i="74"/>
  <c r="G786" i="103"/>
  <c r="E793" i="103"/>
  <c r="E809" i="103" s="1"/>
  <c r="E102" i="74"/>
  <c r="G792" i="103"/>
  <c r="H103" i="74"/>
  <c r="D96" i="74"/>
  <c r="E89" i="74"/>
  <c r="F84" i="74"/>
  <c r="F791" i="103" s="1"/>
  <c r="H88" i="74"/>
  <c r="H80" i="74"/>
  <c r="H787" i="103" s="1"/>
  <c r="H79" i="74"/>
  <c r="I78" i="74"/>
  <c r="H85" i="74"/>
  <c r="H87" i="74"/>
  <c r="H794" i="103" s="1"/>
  <c r="G81" i="74"/>
  <c r="G788" i="103" s="1"/>
  <c r="I95" i="74"/>
  <c r="I802" i="103" s="1"/>
  <c r="E796" i="103" l="1"/>
  <c r="E803" i="103" s="1"/>
  <c r="H786" i="103"/>
  <c r="G86" i="74"/>
  <c r="F793" i="103"/>
  <c r="F809" i="103" s="1"/>
  <c r="F102" i="74"/>
  <c r="H792" i="103"/>
  <c r="I103" i="74"/>
  <c r="E96" i="74"/>
  <c r="F89" i="74"/>
  <c r="G84" i="74"/>
  <c r="G791" i="103" s="1"/>
  <c r="I88" i="74"/>
  <c r="I79" i="74"/>
  <c r="J78" i="74"/>
  <c r="I80" i="74"/>
  <c r="I787" i="103" s="1"/>
  <c r="I85" i="74"/>
  <c r="I87" i="74"/>
  <c r="I794" i="103" s="1"/>
  <c r="H81" i="74"/>
  <c r="H788" i="103" s="1"/>
  <c r="J95" i="74"/>
  <c r="J802" i="103" s="1"/>
  <c r="G793" i="103" l="1"/>
  <c r="G809" i="103" s="1"/>
  <c r="G102" i="74"/>
  <c r="I786" i="103"/>
  <c r="H86" i="74"/>
  <c r="F796" i="103"/>
  <c r="F803" i="103" s="1"/>
  <c r="I792" i="103"/>
  <c r="J103" i="74"/>
  <c r="F96" i="74"/>
  <c r="J80" i="74"/>
  <c r="J787" i="103" s="1"/>
  <c r="K78" i="74"/>
  <c r="J79" i="74"/>
  <c r="J88" i="74"/>
  <c r="J85" i="74"/>
  <c r="J87" i="74"/>
  <c r="J794" i="103" s="1"/>
  <c r="I81" i="74"/>
  <c r="I788" i="103" s="1"/>
  <c r="K95" i="74"/>
  <c r="K802" i="103" s="1"/>
  <c r="G89" i="74"/>
  <c r="H84" i="74"/>
  <c r="H791" i="103" s="1"/>
  <c r="I86" i="74" l="1"/>
  <c r="I793" i="103" s="1"/>
  <c r="I809" i="103" s="1"/>
  <c r="G796" i="103"/>
  <c r="G803" i="103" s="1"/>
  <c r="J786" i="103"/>
  <c r="H793" i="103"/>
  <c r="H809" i="103" s="1"/>
  <c r="H102" i="74"/>
  <c r="J792" i="103"/>
  <c r="K103" i="74"/>
  <c r="G96" i="74"/>
  <c r="H89" i="74"/>
  <c r="J81" i="74"/>
  <c r="J788" i="103" s="1"/>
  <c r="B125" i="74"/>
  <c r="B832" i="103" s="1"/>
  <c r="K80" i="74"/>
  <c r="K787" i="103" s="1"/>
  <c r="B108" i="74"/>
  <c r="K88" i="74"/>
  <c r="K79" i="74"/>
  <c r="K85" i="74"/>
  <c r="K87" i="74"/>
  <c r="K794" i="103" s="1"/>
  <c r="I84" i="74"/>
  <c r="I791" i="103" s="1"/>
  <c r="H796" i="103" l="1"/>
  <c r="H803" i="103" s="1"/>
  <c r="I796" i="103"/>
  <c r="I803" i="103" s="1"/>
  <c r="I102" i="74"/>
  <c r="J86" i="74"/>
  <c r="K786" i="103"/>
  <c r="K792" i="103"/>
  <c r="B133" i="74"/>
  <c r="H96" i="74"/>
  <c r="J84" i="74"/>
  <c r="J791" i="103" s="1"/>
  <c r="K81" i="74"/>
  <c r="K788" i="103" s="1"/>
  <c r="C125" i="74"/>
  <c r="C832" i="103" s="1"/>
  <c r="I89" i="74"/>
  <c r="B109" i="74"/>
  <c r="C108" i="74"/>
  <c r="B110" i="74"/>
  <c r="B817" i="103" s="1"/>
  <c r="B118" i="74"/>
  <c r="B115" i="74"/>
  <c r="B117" i="74"/>
  <c r="B824" i="103" s="1"/>
  <c r="K86" i="74" l="1"/>
  <c r="K793" i="103" s="1"/>
  <c r="K809" i="103" s="1"/>
  <c r="B816" i="103"/>
  <c r="J793" i="103"/>
  <c r="J809" i="103" s="1"/>
  <c r="J102" i="74"/>
  <c r="B822" i="103"/>
  <c r="C133" i="74"/>
  <c r="I96" i="74"/>
  <c r="J89" i="74"/>
  <c r="K84" i="74"/>
  <c r="K791" i="103" s="1"/>
  <c r="D108" i="74"/>
  <c r="C109" i="74"/>
  <c r="C118" i="74"/>
  <c r="C110" i="74"/>
  <c r="C817" i="103" s="1"/>
  <c r="C115" i="74"/>
  <c r="C117" i="74"/>
  <c r="C824" i="103" s="1"/>
  <c r="D125" i="74"/>
  <c r="D832" i="103" s="1"/>
  <c r="B111" i="74"/>
  <c r="B818" i="103" s="1"/>
  <c r="J796" i="103" l="1"/>
  <c r="J803" i="103" s="1"/>
  <c r="K796" i="103"/>
  <c r="K803" i="103" s="1"/>
  <c r="K102" i="74"/>
  <c r="C816" i="103"/>
  <c r="B116" i="74"/>
  <c r="C822" i="103"/>
  <c r="D133" i="74"/>
  <c r="K89" i="74"/>
  <c r="J96" i="74"/>
  <c r="B114" i="74"/>
  <c r="B821" i="103" s="1"/>
  <c r="C111" i="74"/>
  <c r="C818" i="103" s="1"/>
  <c r="E125" i="74"/>
  <c r="E832" i="103" s="1"/>
  <c r="D118" i="74"/>
  <c r="D109" i="74"/>
  <c r="E108" i="74"/>
  <c r="D110" i="74"/>
  <c r="D817" i="103" s="1"/>
  <c r="D115" i="74"/>
  <c r="D117" i="74"/>
  <c r="D824" i="103" s="1"/>
  <c r="B823" i="103" l="1"/>
  <c r="B839" i="103" s="1"/>
  <c r="B132" i="74"/>
  <c r="C116" i="74"/>
  <c r="D816" i="103"/>
  <c r="B826" i="103"/>
  <c r="B833" i="103" s="1"/>
  <c r="D822" i="103"/>
  <c r="E133" i="74"/>
  <c r="K96" i="74"/>
  <c r="B119" i="74"/>
  <c r="C114" i="74"/>
  <c r="C821" i="103" s="1"/>
  <c r="F125" i="74"/>
  <c r="F832" i="103" s="1"/>
  <c r="F108" i="74"/>
  <c r="E109" i="74"/>
  <c r="E118" i="74"/>
  <c r="E110" i="74"/>
  <c r="E817" i="103" s="1"/>
  <c r="E115" i="74"/>
  <c r="E117" i="74"/>
  <c r="E824" i="103" s="1"/>
  <c r="D111" i="74"/>
  <c r="D818" i="103" s="1"/>
  <c r="E816" i="103" l="1"/>
  <c r="C823" i="103"/>
  <c r="C839" i="103" s="1"/>
  <c r="C132" i="74"/>
  <c r="D116" i="74"/>
  <c r="E822" i="103"/>
  <c r="F133" i="74"/>
  <c r="B126" i="74"/>
  <c r="C119" i="74"/>
  <c r="E111" i="74"/>
  <c r="E818" i="103" s="1"/>
  <c r="F118" i="74"/>
  <c r="F110" i="74"/>
  <c r="F817" i="103" s="1"/>
  <c r="F109" i="74"/>
  <c r="F115" i="74"/>
  <c r="F117" i="74"/>
  <c r="F824" i="103" s="1"/>
  <c r="D114" i="74"/>
  <c r="D821" i="103" s="1"/>
  <c r="E116" i="74" l="1"/>
  <c r="E823" i="103" s="1"/>
  <c r="E839" i="103" s="1"/>
  <c r="D823" i="103"/>
  <c r="D839" i="103" s="1"/>
  <c r="D132" i="74"/>
  <c r="F816" i="103"/>
  <c r="C826" i="103"/>
  <c r="C833" i="103" s="1"/>
  <c r="F822" i="103"/>
  <c r="C126" i="74"/>
  <c r="E114" i="74"/>
  <c r="E821" i="103" s="1"/>
  <c r="F111" i="74"/>
  <c r="F818" i="103" s="1"/>
  <c r="D119" i="74"/>
  <c r="D826" i="103" l="1"/>
  <c r="D833" i="103" s="1"/>
  <c r="E826" i="103"/>
  <c r="E833" i="103" s="1"/>
  <c r="E132" i="74"/>
  <c r="F116" i="74"/>
  <c r="D126" i="74"/>
  <c r="E119" i="74"/>
  <c r="F114" i="74"/>
  <c r="F821" i="103" s="1"/>
  <c r="F823" i="103" l="1"/>
  <c r="F839" i="103" s="1"/>
  <c r="F132" i="74"/>
  <c r="E126" i="74"/>
  <c r="F119" i="74"/>
  <c r="F826" i="103" l="1"/>
  <c r="F833" i="103" s="1"/>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tc={722BC26B-B850-428B-8BEC-0BFEB08320E0}</author>
  </authors>
  <commentList>
    <comment ref="L77"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6" authorId="0" shapeId="0">
      <text>
        <r>
          <rPr>
            <b/>
            <sz val="9"/>
            <color indexed="81"/>
            <rFont val="Tahoma"/>
            <family val="2"/>
          </rPr>
          <t>marie.palena:</t>
        </r>
        <r>
          <rPr>
            <sz val="9"/>
            <color indexed="81"/>
            <rFont val="Tahoma"/>
            <family val="2"/>
          </rPr>
          <t xml:space="preserve">
revise if using Rural step-down interest</t>
        </r>
      </text>
    </comment>
    <comment ref="F61" authorId="0" shapeId="0">
      <text>
        <r>
          <rPr>
            <b/>
            <sz val="9"/>
            <color indexed="81"/>
            <rFont val="Tahoma"/>
            <family val="2"/>
          </rPr>
          <t>marie.palena:</t>
        </r>
        <r>
          <rPr>
            <sz val="9"/>
            <color indexed="81"/>
            <rFont val="Tahoma"/>
            <family val="2"/>
          </rPr>
          <t xml:space="preserve">
Only if IPS, otherwise NA</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 ref="G66" authorId="0" shapeId="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<sst xmlns="http://schemas.openxmlformats.org/spreadsheetml/2006/main" count="19316" uniqueCount="7125">
  <si>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</si>
  <si>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</si>
  <si>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</si>
  <si>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</si>
  <si>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</si>
  <si>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</si>
  <si>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</si>
  <si>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</si>
  <si>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</si>
  <si>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</si>
  <si>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</si>
  <si>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</si>
  <si>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</si>
  <si>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</si>
  <si>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</si>
  <si>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</si>
  <si>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</si>
  <si>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</si>
  <si>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</si>
  <si>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</si>
  <si>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</si>
  <si>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</si>
  <si>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</si>
  <si>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</si>
  <si>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</si>
  <si>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</si>
  <si>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</si>
  <si>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</si>
  <si>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</si>
  <si>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</si>
  <si>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</si>
  <si>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</si>
  <si>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</si>
  <si>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</si>
  <si>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</si>
  <si>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</si>
  <si>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</si>
  <si>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</si>
  <si>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</si>
  <si>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</si>
  <si>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</si>
  <si>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</si>
  <si>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</si>
  <si>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</si>
  <si>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</si>
  <si>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</si>
  <si>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</si>
  <si>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</si>
  <si>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</si>
  <si>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</si>
  <si>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</si>
  <si>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</si>
  <si>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</si>
  <si>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</si>
  <si>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</si>
  <si>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</si>
  <si>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</si>
  <si>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</si>
  <si>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</si>
  <si>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</si>
  <si>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</si>
  <si>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</si>
  <si>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</si>
  <si>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</si>
  <si>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</si>
  <si>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</si>
  <si>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</si>
  <si>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</si>
  <si>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</si>
  <si>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</si>
  <si>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</si>
  <si>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</si>
  <si>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</si>
  <si>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</si>
  <si>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</si>
  <si>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</si>
  <si>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</si>
  <si>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</si>
  <si>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</si>
  <si>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</si>
  <si>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</si>
  <si>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</si>
  <si>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</si>
  <si>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</si>
  <si>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</si>
  <si>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</si>
  <si>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</si>
  <si>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</si>
  <si>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</si>
  <si>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</si>
  <si>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</si>
  <si>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</si>
  <si>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</si>
  <si>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</si>
  <si>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</si>
  <si>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</si>
  <si>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</si>
  <si>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</si>
  <si>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</si>
  <si>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</si>
  <si>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</si>
  <si>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</si>
  <si>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</si>
  <si>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</si>
  <si>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</si>
  <si>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</si>
  <si>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</si>
  <si>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</si>
  <si>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</si>
  <si>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</si>
  <si>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</si>
  <si>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</si>
  <si>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</si>
  <si>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</si>
  <si>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</si>
  <si>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</si>
  <si>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</si>
  <si>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</si>
  <si>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</si>
  <si>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</si>
  <si>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</si>
  <si>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</si>
  <si>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</si>
  <si>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</si>
  <si>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</si>
  <si>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</si>
  <si>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</si>
  <si>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</si>
  <si>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</si>
  <si>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</si>
  <si>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</si>
  <si>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</si>
  <si>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</si>
  <si>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</si>
  <si>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</si>
  <si>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</si>
  <si>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</si>
  <si>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</si>
  <si>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</si>
  <si>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</si>
  <si>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</si>
  <si>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</si>
  <si>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</si>
  <si>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</si>
  <si>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</si>
  <si>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</si>
  <si>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</si>
  <si>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</si>
  <si>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</si>
  <si>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</si>
  <si>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</si>
  <si>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</si>
  <si>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</si>
  <si>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</si>
  <si>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</si>
  <si>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</si>
  <si>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</si>
  <si>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</si>
  <si>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</si>
  <si>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</si>
  <si>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</si>
  <si>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</si>
  <si>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</si>
  <si>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</si>
  <si>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</si>
  <si>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</si>
  <si>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</si>
  <si>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</si>
  <si>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</si>
  <si>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</si>
  <si>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</si>
  <si>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</si>
  <si>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</si>
  <si>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</si>
  <si>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</si>
  <si>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</si>
  <si>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</si>
  <si>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</si>
  <si>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</si>
  <si>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</si>
  <si>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</si>
  <si>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</si>
  <si>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</si>
  <si>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</si>
  <si>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</si>
  <si>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</si>
  <si>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</si>
  <si>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</si>
  <si>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</si>
  <si>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</si>
  <si>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</si>
  <si>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</si>
  <si>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</si>
  <si>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</si>
  <si>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</si>
  <si>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</si>
  <si>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</si>
  <si>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</si>
  <si>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</si>
  <si>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</si>
  <si>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</si>
  <si>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</si>
  <si>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</si>
  <si>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</si>
  <si>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</si>
  <si>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</si>
  <si>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</si>
  <si>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</si>
  <si>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</si>
  <si>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</si>
  <si>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</si>
  <si>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</si>
  <si>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</si>
  <si>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</si>
  <si>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</si>
  <si>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</si>
  <si>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</si>
  <si>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</si>
  <si>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</si>
  <si>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</si>
  <si>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</si>
  <si>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</si>
  <si>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</si>
  <si>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</si>
  <si>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</si>
  <si>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</si>
  <si>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</si>
  <si>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</si>
  <si>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</si>
  <si>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</si>
  <si>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</si>
  <si>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</si>
  <si>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</si>
  <si>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</si>
  <si>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</si>
  <si>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</si>
  <si>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</si>
  <si>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</si>
  <si>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</si>
  <si>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</si>
  <si>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</si>
  <si>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</si>
  <si>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</si>
  <si>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</si>
  <si>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</si>
  <si>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</si>
  <si>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</si>
  <si>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</si>
  <si>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</si>
  <si>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</si>
  <si>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</si>
  <si>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</si>
  <si>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</si>
  <si>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</si>
  <si>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</si>
  <si>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</si>
  <si>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</si>
  <si>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</si>
  <si>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</si>
  <si>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</si>
  <si>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</si>
  <si>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</si>
  <si>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</si>
  <si>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</si>
  <si>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</si>
  <si>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</si>
  <si>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</si>
  <si>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</si>
  <si>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</si>
  <si>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</si>
  <si>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</si>
  <si>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</si>
  <si>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</si>
  <si>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</si>
  <si>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</si>
  <si>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</si>
  <si>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</si>
  <si>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</si>
  <si>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</si>
  <si>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</si>
  <si>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</si>
  <si>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</si>
  <si>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</si>
  <si>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</si>
  <si>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</si>
  <si>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</si>
  <si>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</si>
  <si>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</si>
  <si>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</si>
  <si>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</si>
  <si>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</si>
  <si>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</si>
  <si>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</si>
  <si>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</si>
  <si>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</si>
  <si>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</si>
  <si>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</si>
  <si>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</si>
  <si>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</si>
  <si>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</si>
  <si>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</si>
  <si>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</si>
  <si>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</si>
  <si>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</si>
  <si>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</si>
  <si>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</si>
  <si>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</si>
  <si>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</si>
  <si>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</si>
  <si>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</si>
  <si>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</si>
  <si>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</si>
  <si>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</si>
  <si>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</si>
  <si>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</si>
  <si>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</si>
  <si>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</si>
  <si>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</si>
  <si>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</si>
  <si>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</si>
  <si>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</si>
  <si>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</si>
  <si>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</si>
  <si>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</si>
  <si>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</si>
  <si>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</si>
  <si>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</si>
  <si>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</si>
  <si>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</si>
  <si>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</si>
  <si>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</si>
  <si>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</si>
  <si>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</si>
  <si>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</si>
  <si>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</si>
  <si>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</si>
  <si>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</si>
  <si>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</si>
  <si>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</si>
  <si>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</si>
  <si>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</si>
  <si>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</si>
  <si>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</si>
  <si>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</si>
  <si>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</si>
  <si>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</si>
  <si>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</si>
  <si>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</si>
  <si>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</si>
  <si>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</si>
  <si>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</si>
  <si>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</si>
  <si>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</si>
  <si>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</si>
  <si>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</si>
  <si>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</si>
  <si>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</si>
  <si>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</si>
  <si>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</si>
  <si>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</si>
  <si>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</si>
  <si>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</si>
  <si>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</si>
  <si>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</si>
  <si>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</si>
  <si>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</si>
  <si>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</si>
  <si>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</si>
  <si>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</si>
  <si>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</si>
  <si>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</si>
  <si>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</si>
  <si>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</si>
  <si>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</si>
  <si>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</si>
  <si>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</si>
  <si>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</si>
  <si>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</si>
  <si>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</si>
  <si>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</si>
  <si>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</si>
  <si>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</si>
  <si>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</si>
  <si>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</si>
  <si>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</si>
  <si>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</si>
  <si>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</si>
  <si>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</si>
  <si>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</si>
  <si>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</si>
  <si>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</si>
  <si>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</si>
  <si>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</si>
  <si>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</si>
  <si>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</si>
  <si>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</si>
  <si>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</si>
  <si>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</si>
  <si>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</si>
  <si>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</si>
  <si>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</si>
  <si>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</si>
  <si>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</si>
  <si>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</si>
  <si>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</si>
  <si>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</si>
  <si>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</si>
  <si>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</si>
  <si>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</si>
  <si>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</si>
  <si>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</si>
  <si>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</si>
  <si>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</si>
  <si>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</si>
  <si>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</si>
  <si>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</si>
  <si>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</si>
  <si>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</si>
  <si>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</si>
  <si>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</si>
  <si>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</si>
  <si>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</si>
  <si>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</si>
  <si>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</si>
  <si>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</si>
  <si>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</si>
  <si>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</si>
  <si>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</si>
  <si>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</si>
  <si>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</si>
  <si>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</si>
  <si>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</si>
  <si>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</si>
  <si>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</si>
  <si>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</si>
  <si>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</si>
  <si>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</si>
  <si>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</si>
  <si>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</si>
  <si>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</si>
  <si>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</si>
  <si>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</si>
  <si>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</si>
  <si>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</si>
  <si>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</si>
  <si>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</si>
  <si>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</si>
  <si>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</si>
  <si>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</si>
  <si>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</si>
  <si>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</si>
  <si>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</si>
  <si>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</si>
  <si>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</si>
  <si>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</si>
  <si>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</si>
  <si>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</si>
  <si>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</si>
  <si>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</si>
  <si>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</si>
  <si>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</si>
  <si>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</si>
  <si>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</si>
  <si>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</si>
  <si>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</si>
  <si>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</si>
  <si>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</si>
  <si>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</si>
  <si>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</si>
  <si>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</si>
  <si>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</si>
  <si>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</si>
  <si>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</si>
  <si>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</si>
  <si>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</si>
  <si>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</si>
  <si>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</si>
  <si>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</si>
  <si>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</si>
  <si>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</si>
  <si>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</si>
  <si>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</si>
  <si>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</si>
  <si>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</si>
  <si>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</si>
  <si>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</si>
  <si>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</si>
  <si>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</si>
  <si>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</si>
  <si>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</si>
  <si>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</si>
  <si>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</si>
  <si>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</si>
  <si>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</si>
  <si>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</si>
  <si>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</si>
  <si>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</si>
  <si>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</si>
  <si>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</si>
  <si>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</si>
  <si>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</si>
  <si>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</si>
  <si>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</si>
  <si>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</si>
  <si>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</si>
  <si>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</si>
  <si>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</si>
  <si>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</si>
  <si>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</si>
  <si>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</si>
  <si>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</si>
  <si>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</si>
  <si>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</si>
  <si>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</si>
  <si>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</si>
  <si>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</si>
  <si>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</si>
  <si>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</si>
  <si>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</si>
  <si>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</si>
  <si>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</si>
  <si>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</si>
  <si>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</si>
  <si>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</si>
  <si>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</si>
  <si>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</si>
  <si>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</si>
  <si>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</si>
  <si>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</si>
  <si>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</si>
  <si>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</si>
  <si>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</si>
  <si>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</si>
  <si>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</si>
  <si>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</si>
  <si>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</si>
  <si>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</si>
  <si>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</si>
  <si>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</si>
  <si>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</si>
  <si>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</si>
  <si>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</si>
  <si>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</si>
  <si>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</si>
  <si>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</si>
  <si>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</si>
  <si>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</si>
  <si>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</si>
  <si>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</si>
  <si>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</si>
  <si>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</si>
  <si>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</si>
  <si>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</si>
  <si>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</si>
  <si>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</si>
  <si>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</si>
  <si>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</si>
  <si>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</si>
  <si>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</si>
  <si>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</si>
  <si>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</si>
  <si>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</si>
  <si>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</si>
  <si>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</si>
  <si>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</si>
  <si>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</si>
  <si>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</si>
  <si>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</si>
  <si>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</si>
  <si>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</si>
  <si>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</si>
  <si>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</si>
  <si>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</si>
  <si>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</si>
  <si>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</si>
  <si>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</si>
  <si>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</si>
  <si>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</si>
  <si>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</si>
  <si>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</si>
  <si>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</si>
  <si>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</si>
  <si>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</si>
  <si>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</si>
  <si>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</si>
  <si>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</si>
  <si>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</si>
  <si>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</si>
  <si>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</si>
  <si>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</si>
  <si>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</si>
  <si>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</si>
  <si>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</si>
  <si>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</si>
  <si>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</si>
  <si>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</si>
  <si>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</si>
  <si>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</si>
  <si>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</si>
  <si>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</si>
  <si>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</si>
  <si>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</si>
  <si>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</si>
  <si>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</si>
  <si>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</si>
  <si>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</si>
  <si>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</si>
  <si>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</si>
  <si>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</si>
  <si>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</si>
  <si>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</si>
  <si>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</si>
  <si>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</si>
  <si>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</si>
  <si>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</si>
  <si>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</si>
  <si>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</si>
  <si>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</si>
  <si>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</si>
  <si>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</si>
  <si>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</si>
  <si>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</si>
  <si>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</si>
  <si>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</si>
  <si>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</si>
  <si>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</si>
  <si>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</si>
  <si>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</si>
  <si>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</si>
  <si>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</si>
  <si>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</si>
  <si>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</si>
  <si>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</si>
  <si>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</si>
  <si>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</si>
  <si>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</si>
  <si>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</si>
  <si>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</si>
  <si>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</si>
  <si>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</si>
  <si>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</si>
  <si>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</si>
  <si>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</si>
  <si>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</si>
  <si>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</si>
  <si>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</si>
  <si>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</si>
  <si>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</si>
  <si>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</si>
  <si>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</si>
  <si>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</si>
  <si>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</si>
  <si>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</si>
  <si>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</si>
  <si>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</si>
  <si>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</si>
  <si>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</si>
  <si>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</si>
  <si>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</si>
  <si>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</si>
  <si>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</si>
  <si>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</si>
  <si>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</si>
  <si>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</si>
  <si>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</si>
  <si>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</si>
  <si>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</si>
  <si>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</si>
  <si>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</si>
  <si>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</si>
  <si>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</si>
  <si>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</si>
  <si>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</si>
  <si>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</si>
  <si>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</si>
  <si>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</si>
  <si>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</si>
  <si>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</si>
  <si>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</si>
  <si>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</si>
  <si>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</si>
  <si>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</si>
  <si>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</si>
  <si>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</si>
  <si>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</si>
  <si>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</si>
  <si>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</si>
  <si>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</si>
  <si>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</si>
  <si>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</si>
  <si>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</si>
  <si>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</si>
  <si>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</si>
  <si>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</si>
  <si>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</si>
  <si>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</si>
  <si>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</si>
  <si>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</si>
  <si>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</si>
  <si>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</si>
  <si>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</si>
  <si>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</si>
  <si>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</si>
  <si>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</si>
  <si>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</si>
  <si>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</si>
  <si>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</si>
  <si>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</si>
  <si>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</si>
  <si>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</si>
  <si>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</si>
  <si>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</si>
  <si>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</si>
  <si>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</si>
  <si>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</si>
  <si>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</si>
  <si>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</si>
  <si>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</si>
  <si>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</si>
  <si>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</si>
  <si>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</si>
  <si>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</si>
  <si>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</si>
  <si>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</si>
  <si>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</si>
  <si>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</si>
  <si>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</si>
  <si>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</si>
  <si>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</si>
  <si>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</si>
  <si>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</si>
  <si>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</si>
  <si>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</si>
  <si>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</si>
  <si>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</si>
  <si>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</si>
  <si>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</si>
  <si>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</si>
  <si>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</si>
  <si>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</si>
  <si>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</si>
  <si>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</si>
  <si>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</si>
  <si>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</si>
  <si>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</si>
  <si>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</si>
  <si>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</si>
  <si>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</si>
  <si>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</si>
  <si>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</si>
  <si>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</si>
  <si>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</si>
  <si>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</si>
  <si>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</si>
  <si>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</si>
  <si>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</si>
  <si>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</si>
  <si>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</si>
  <si>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</si>
  <si>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</si>
  <si>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</si>
  <si>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</si>
  <si>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</si>
  <si>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</si>
  <si>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</si>
  <si>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</si>
  <si>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</si>
  <si>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</si>
  <si>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</si>
  <si>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</si>
  <si>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</si>
  <si>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</si>
  <si>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</si>
  <si>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</si>
  <si>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</si>
  <si>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</si>
  <si>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</si>
  <si>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</si>
  <si>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</si>
  <si>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</si>
  <si>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</si>
  <si>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</si>
  <si>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</si>
  <si>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</si>
  <si>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</si>
  <si>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</si>
  <si>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</si>
  <si>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</si>
  <si>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</si>
  <si>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</si>
  <si>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</si>
  <si>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</si>
  <si>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</si>
  <si>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</si>
  <si>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</si>
  <si>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</si>
  <si>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</si>
  <si>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</si>
  <si>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</si>
  <si>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</si>
  <si>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</si>
  <si>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</si>
  <si>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</si>
  <si>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</si>
  <si>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</si>
  <si>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</si>
  <si>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</si>
  <si>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</si>
  <si>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</si>
  <si>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</si>
  <si>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</si>
  <si>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</si>
  <si>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</si>
  <si>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</si>
  <si>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</si>
  <si>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</si>
  <si>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</si>
  <si>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</si>
  <si>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</si>
  <si>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</si>
  <si>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</si>
  <si>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</si>
  <si>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</si>
  <si>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</si>
  <si>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</si>
  <si>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</si>
  <si>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</si>
  <si>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</si>
  <si>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</si>
  <si>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</si>
  <si>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</si>
  <si>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</si>
  <si>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</si>
  <si>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</si>
  <si>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</si>
  <si>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</si>
  <si>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</si>
  <si>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</si>
  <si>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</si>
  <si>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</si>
  <si>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</si>
  <si>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</si>
  <si>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</si>
  <si>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</si>
  <si>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</si>
  <si>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</si>
  <si>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</si>
  <si>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</si>
  <si>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</si>
  <si>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</si>
  <si>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</si>
  <si>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</si>
  <si>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</si>
  <si>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</si>
  <si>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</si>
  <si>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</si>
  <si>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</si>
  <si>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</si>
  <si>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</si>
  <si>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</si>
  <si>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</si>
  <si>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</si>
  <si>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</si>
  <si>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</si>
  <si>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</si>
  <si>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</si>
  <si>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</si>
  <si>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</si>
  <si>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</si>
  <si>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</si>
  <si>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</si>
  <si>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</si>
  <si>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</si>
  <si>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</si>
  <si>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</si>
  <si>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</si>
  <si>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</si>
  <si>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</si>
  <si>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</si>
  <si>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</si>
  <si>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</si>
  <si>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</si>
  <si>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</si>
  <si>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</si>
  <si>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</si>
  <si>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</si>
  <si>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</si>
  <si>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</si>
  <si>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</si>
  <si>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</si>
  <si>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</si>
  <si>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</si>
  <si>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</si>
  <si>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</si>
  <si>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</si>
  <si>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</si>
  <si>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</si>
  <si>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</si>
  <si>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</si>
  <si>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</si>
  <si>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</si>
  <si>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</si>
  <si>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</si>
  <si>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</si>
  <si>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</si>
  <si>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</si>
  <si>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</si>
  <si>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</si>
  <si>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</si>
  <si>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</si>
  <si>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</si>
  <si>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</si>
  <si>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</si>
  <si>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</si>
  <si>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</si>
  <si>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</si>
  <si>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</si>
  <si>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</si>
  <si>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</si>
  <si>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</si>
  <si>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</si>
  <si>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</si>
  <si>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</si>
  <si>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</si>
  <si>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</si>
  <si>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</si>
  <si>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</si>
  <si>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</si>
  <si>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</si>
  <si>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</si>
  <si>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</si>
  <si>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</si>
  <si>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</si>
  <si>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</si>
  <si>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</si>
  <si>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</si>
  <si>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</si>
  <si>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</si>
  <si>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</si>
  <si>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</si>
  <si>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</si>
  <si>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</si>
  <si>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</si>
  <si>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</si>
  <si>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</si>
  <si>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</si>
  <si>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</si>
  <si>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</si>
  <si>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</si>
  <si>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</si>
  <si>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</si>
  <si>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</si>
  <si>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</si>
  <si>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</si>
  <si>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</si>
  <si>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</si>
  <si>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</si>
  <si>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</si>
  <si>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</si>
  <si>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</si>
  <si>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</si>
  <si>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</si>
  <si>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</si>
  <si>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</si>
  <si>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</si>
  <si>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</si>
  <si>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</si>
  <si>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</si>
  <si>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</si>
  <si>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</si>
  <si>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</si>
  <si>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</si>
  <si>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</si>
  <si>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</si>
  <si>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</si>
  <si>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</si>
  <si>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</si>
  <si>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</si>
  <si>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</si>
  <si>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</si>
  <si>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</si>
  <si>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</si>
  <si>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</si>
  <si>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</si>
  <si>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</si>
  <si>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</si>
  <si>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</si>
  <si>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</si>
  <si>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</si>
  <si>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</si>
  <si>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</si>
  <si>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</si>
  <si>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</si>
  <si>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</si>
  <si>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</si>
  <si>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</si>
  <si>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</si>
  <si>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</si>
  <si>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</si>
  <si>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</si>
  <si>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</si>
  <si>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</si>
  <si>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</si>
  <si>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</si>
  <si>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</si>
  <si>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</si>
  <si>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</si>
  <si>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</si>
  <si>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</si>
  <si>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</si>
  <si>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</si>
  <si>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</si>
  <si>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</si>
  <si>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</si>
  <si>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</si>
  <si>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</si>
  <si>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</si>
  <si>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</si>
  <si>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</si>
  <si>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</si>
  <si>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</si>
  <si>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</si>
  <si>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</si>
  <si>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</si>
  <si>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</si>
  <si>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</si>
  <si>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</si>
  <si>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</si>
  <si>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</si>
  <si>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</si>
  <si>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</si>
  <si>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</si>
  <si>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</si>
  <si>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</si>
  <si>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</si>
  <si>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</si>
  <si>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</si>
  <si>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</si>
  <si>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</si>
  <si>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</si>
  <si>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</si>
  <si>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</si>
  <si>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</si>
  <si>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</si>
  <si>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</si>
  <si>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</si>
  <si>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</si>
  <si>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</si>
  <si>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</si>
  <si>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</si>
  <si>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</si>
  <si>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</si>
  <si>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</si>
  <si>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</si>
  <si>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</si>
  <si>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</si>
  <si>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</si>
  <si>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</si>
  <si>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</si>
  <si>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</si>
  <si>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</si>
  <si>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</si>
  <si>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</si>
  <si>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</si>
  <si>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</si>
  <si>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</si>
  <si>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</si>
  <si>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</si>
  <si>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</si>
  <si>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</si>
  <si>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</si>
  <si>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</si>
  <si>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</si>
  <si>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</si>
  <si>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</si>
  <si>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</si>
  <si>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</si>
  <si>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</si>
  <si>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</si>
  <si>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</si>
  <si>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</si>
  <si>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</si>
  <si>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</si>
  <si>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</si>
  <si>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</si>
  <si>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</si>
  <si>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</si>
  <si>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</si>
  <si>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</si>
  <si>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</si>
  <si>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</si>
  <si>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</si>
  <si>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</si>
  <si>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</si>
  <si>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</si>
  <si>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</si>
  <si>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</si>
  <si>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</si>
  <si>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</si>
  <si>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</si>
  <si>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</si>
  <si>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</si>
  <si>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</si>
  <si>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</si>
  <si>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</si>
  <si>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</si>
  <si>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</si>
  <si>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</si>
  <si>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</si>
  <si>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</si>
  <si>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</si>
  <si>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</si>
  <si>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</si>
  <si>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</si>
  <si>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</si>
  <si>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</si>
  <si>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</si>
  <si>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</si>
  <si>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</si>
  <si>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</si>
  <si>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</si>
  <si>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</si>
  <si>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</si>
  <si>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</si>
  <si>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</si>
  <si>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</si>
  <si>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</si>
  <si>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</si>
  <si>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</si>
  <si>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</si>
  <si>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</si>
  <si>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</si>
  <si>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</si>
  <si>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</si>
  <si>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</si>
  <si>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</si>
  <si>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</si>
  <si>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</si>
  <si>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</si>
  <si>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</si>
  <si>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</si>
  <si>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</si>
  <si>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</si>
  <si>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</si>
  <si>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</si>
  <si>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</si>
  <si>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</si>
  <si>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</si>
  <si>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</si>
  <si>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</si>
  <si>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</si>
  <si>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</si>
  <si>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</si>
  <si>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</si>
  <si>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</si>
  <si>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</si>
  <si>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</si>
  <si>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</si>
  <si>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</si>
  <si>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</si>
  <si>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</si>
  <si>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</si>
  <si>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</si>
  <si>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</si>
  <si>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</si>
  <si>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</si>
  <si>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</si>
  <si>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</si>
  <si>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</si>
  <si>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</si>
  <si>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</si>
  <si>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</si>
  <si>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</si>
  <si>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</si>
  <si>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</si>
  <si>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</si>
  <si>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</si>
  <si>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</si>
  <si>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</si>
  <si>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</si>
  <si>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</si>
  <si>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</si>
  <si>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</si>
  <si>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</si>
  <si>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</si>
  <si>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</si>
  <si>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</si>
  <si>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</si>
  <si>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</si>
  <si>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</si>
  <si>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</si>
  <si>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</si>
  <si>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</si>
  <si>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</si>
  <si>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</si>
  <si>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</si>
  <si>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</si>
  <si>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</si>
  <si>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</si>
  <si>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</si>
  <si>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</si>
  <si>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</si>
  <si>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</si>
  <si>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</si>
  <si>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</si>
  <si>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</si>
  <si>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</si>
  <si>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</si>
  <si>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</si>
  <si>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</si>
  <si>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</si>
  <si>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</si>
  <si>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</si>
  <si>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</si>
  <si>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</si>
  <si>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</si>
  <si>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</si>
  <si>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</si>
  <si>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</si>
  <si>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</si>
  <si>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</si>
  <si>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</si>
  <si>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</si>
  <si>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</si>
  <si>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</si>
  <si>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</si>
  <si>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</si>
  <si>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</si>
  <si>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</si>
  <si>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</si>
  <si>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</si>
  <si>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</si>
  <si>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</si>
  <si>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</si>
  <si>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</si>
  <si>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</si>
  <si>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</si>
  <si>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</si>
  <si>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</si>
  <si>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</si>
  <si>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</si>
  <si>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</si>
  <si>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</si>
  <si>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</si>
  <si>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</si>
  <si>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</si>
  <si>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</si>
  <si>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</si>
  <si>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</si>
  <si>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</si>
  <si>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</si>
  <si>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</si>
  <si>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</si>
  <si>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</si>
  <si>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</si>
  <si>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</si>
  <si>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</si>
  <si>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</si>
  <si>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</si>
  <si>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</si>
  <si>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</si>
  <si>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</si>
  <si>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</si>
  <si>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</si>
  <si>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</si>
  <si>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</si>
  <si>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</si>
  <si>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</si>
  <si>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</si>
  <si>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</si>
  <si>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</si>
  <si>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</si>
  <si>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</si>
  <si>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</si>
  <si>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</si>
  <si>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</si>
  <si>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</si>
  <si>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</si>
  <si>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</si>
  <si>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</si>
  <si>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</si>
  <si>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</si>
  <si>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</si>
  <si>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</si>
  <si>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</si>
  <si>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</si>
  <si>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</si>
  <si>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</si>
  <si>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</si>
  <si>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</si>
  <si>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</si>
  <si>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</si>
  <si>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</si>
  <si>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</si>
  <si>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</si>
  <si>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</si>
  <si>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</si>
  <si>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</si>
  <si>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</si>
  <si>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</si>
  <si>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</si>
  <si>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</si>
  <si>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</si>
  <si>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</si>
  <si>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</si>
  <si>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</si>
  <si>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</si>
  <si>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</si>
  <si>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</si>
  <si>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</si>
  <si>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</si>
  <si>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</si>
  <si>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</si>
  <si>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</si>
  <si>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</si>
  <si>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</si>
  <si>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</si>
  <si>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</si>
  <si>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</si>
  <si>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</si>
  <si>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</si>
  <si>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</si>
  <si>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</si>
  <si>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</si>
  <si>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</si>
  <si>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</si>
  <si>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</si>
  <si>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</si>
  <si>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</si>
  <si>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</si>
  <si>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</si>
  <si>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</si>
  <si>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</si>
  <si>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</si>
  <si>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</si>
  <si>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</si>
  <si>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</si>
  <si>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</si>
  <si>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</si>
  <si>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</si>
  <si>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</si>
  <si>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</si>
  <si>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</si>
  <si>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</si>
  <si>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</si>
  <si>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</si>
  <si>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</si>
  <si>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</si>
  <si>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</si>
  <si>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</si>
  <si>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</si>
  <si>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</si>
  <si>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</si>
  <si>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</si>
  <si>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</si>
  <si>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</si>
  <si>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</si>
  <si>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</si>
  <si>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</si>
  <si>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</si>
  <si>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</si>
  <si>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</si>
  <si>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</si>
  <si>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</si>
  <si>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</si>
  <si>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</si>
  <si>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</si>
  <si>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</si>
  <si>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</si>
  <si>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</si>
  <si>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</si>
  <si>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</si>
  <si>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</si>
  <si>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</si>
  <si>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</si>
  <si>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</si>
  <si>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</si>
  <si>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</si>
  <si>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</si>
  <si>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</si>
  <si>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</si>
  <si>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</si>
  <si>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</si>
  <si>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</si>
  <si>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</si>
  <si>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</si>
  <si>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</si>
  <si>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</si>
  <si>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</si>
  <si>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</si>
  <si>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</si>
  <si>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</si>
  <si>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</si>
  <si>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</si>
  <si>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</si>
  <si>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</si>
  <si>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</si>
  <si>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</si>
  <si>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</si>
  <si>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</si>
  <si>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</si>
  <si>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</si>
  <si>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</si>
  <si>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</si>
  <si>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</si>
  <si>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</si>
  <si>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</si>
  <si>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</si>
  <si>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</si>
  <si>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</si>
  <si>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</si>
  <si>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</si>
  <si>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</si>
  <si>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</si>
  <si>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</si>
  <si>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</si>
  <si>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</si>
  <si>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</si>
  <si>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</si>
  <si>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</si>
  <si>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</si>
  <si>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</si>
  <si>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</si>
  <si>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</si>
  <si>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</si>
  <si>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</si>
  <si>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</si>
  <si>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</si>
  <si>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</si>
  <si>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</si>
  <si>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</si>
  <si>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</si>
  <si>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</si>
  <si>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</si>
  <si>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</si>
  <si>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</si>
  <si>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</si>
  <si>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</si>
  <si>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</si>
  <si>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</si>
  <si>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</si>
  <si>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</si>
  <si>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</si>
  <si>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</si>
  <si>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</si>
  <si>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</si>
  <si>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</si>
  <si>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</si>
  <si>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</si>
  <si>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</si>
  <si>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</si>
  <si>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</si>
  <si>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</si>
  <si>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</si>
  <si>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</si>
  <si>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</si>
  <si>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</si>
  <si>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</si>
  <si>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</si>
  <si>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</si>
  <si>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</si>
  <si>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</si>
  <si>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</si>
  <si>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</si>
  <si>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</si>
  <si>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</si>
  <si>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</si>
  <si>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</si>
  <si>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</si>
  <si>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</si>
  <si>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</si>
  <si>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</si>
  <si>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</si>
  <si>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</si>
  <si>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</si>
  <si>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</si>
  <si>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</si>
  <si>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</si>
  <si>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</si>
  <si>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</si>
  <si>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</si>
  <si>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</si>
  <si>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</si>
  <si>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</si>
  <si>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</si>
  <si>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</si>
  <si>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</si>
  <si>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</si>
  <si>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</si>
  <si>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</si>
  <si>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</si>
  <si>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</si>
  <si>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</si>
  <si>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</si>
  <si>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</si>
  <si>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</si>
  <si>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</si>
  <si>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</si>
  <si>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</si>
  <si>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</si>
  <si>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</si>
  <si>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</si>
  <si>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</si>
  <si>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</si>
  <si>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</si>
  <si>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</si>
  <si>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</si>
  <si>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</si>
  <si>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</si>
  <si>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</si>
  <si>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</si>
  <si>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</si>
  <si>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</si>
  <si>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</si>
  <si>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</si>
  <si>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</si>
  <si>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</si>
  <si>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</si>
  <si>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</si>
  <si>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</si>
  <si>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</si>
  <si>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</si>
  <si>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</si>
  <si>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</si>
  <si>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</si>
  <si>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</si>
  <si>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</si>
  <si>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</si>
  <si>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</si>
  <si>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</si>
  <si>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</si>
  <si>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</si>
  <si>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</si>
  <si>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</si>
  <si>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</si>
  <si>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</si>
  <si>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</si>
  <si>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</si>
  <si>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</si>
  <si>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</si>
  <si>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</si>
  <si>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</si>
  <si>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</si>
  <si>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</si>
  <si>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</si>
  <si>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</si>
  <si>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</si>
  <si>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</si>
  <si>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</si>
  <si>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</si>
  <si>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</si>
  <si>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</si>
  <si>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</si>
  <si>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</si>
  <si>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</si>
  <si>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</si>
  <si>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</si>
  <si>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</si>
  <si>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</si>
  <si>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</si>
  <si>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</si>
  <si>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</si>
  <si>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</si>
  <si>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</si>
  <si>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</si>
  <si>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</si>
  <si>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</si>
  <si>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</si>
  <si>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</si>
  <si>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</si>
  <si>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</si>
  <si>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</si>
  <si>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</si>
  <si>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</si>
  <si>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</si>
  <si>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</si>
  <si>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</si>
  <si>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</si>
  <si>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</si>
  <si>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</si>
  <si>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</si>
  <si>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</si>
  <si>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</si>
  <si>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</si>
  <si>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</si>
  <si>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</si>
  <si>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</si>
  <si>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</si>
  <si>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</si>
  <si>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</si>
  <si>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</si>
  <si>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</si>
  <si>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</si>
  <si>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</si>
  <si>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</si>
  <si>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</si>
  <si>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</si>
  <si>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</si>
  <si>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</si>
  <si>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</si>
  <si>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</si>
  <si>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</si>
  <si>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</si>
  <si>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</si>
  <si>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</si>
  <si>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</si>
  <si>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</si>
  <si>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</si>
  <si>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</si>
  <si>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</si>
  <si>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</si>
  <si>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</si>
  <si>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</si>
  <si>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</si>
  <si>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</si>
  <si>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</si>
  <si>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</si>
  <si>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</si>
  <si>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</si>
  <si>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</si>
  <si>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</si>
  <si>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</si>
  <si>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</si>
  <si>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</si>
  <si>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</si>
  <si>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</si>
  <si>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</si>
  <si>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</si>
  <si>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</si>
  <si>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</si>
  <si>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</si>
  <si>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</si>
  <si>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</si>
  <si>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</si>
  <si>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</si>
  <si>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</si>
  <si>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</si>
  <si>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</si>
  <si>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</si>
  <si>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</si>
  <si>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</si>
  <si>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</si>
  <si>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</si>
  <si>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</si>
  <si>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</si>
  <si>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</si>
  <si>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</si>
  <si>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</si>
  <si>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</si>
  <si>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</si>
  <si>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</si>
  <si>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</si>
  <si>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</si>
  <si>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</si>
  <si>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</si>
  <si>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</si>
  <si>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</si>
  <si>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</si>
  <si>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</si>
  <si>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</si>
  <si>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</si>
  <si>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</si>
  <si>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</si>
  <si>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</si>
  <si>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</si>
  <si>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</si>
  <si>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</si>
  <si>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</si>
  <si>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</si>
  <si>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</si>
  <si>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</si>
  <si>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</si>
  <si>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</si>
  <si>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</si>
  <si>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</si>
  <si>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</si>
  <si>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</si>
  <si>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</si>
  <si>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</si>
  <si>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</si>
  <si>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</si>
  <si>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</si>
  <si>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</si>
  <si>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</si>
  <si>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</si>
  <si>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</si>
  <si>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</si>
  <si>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</si>
  <si>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</si>
  <si>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</si>
  <si>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</si>
  <si>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</si>
  <si>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</si>
  <si>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</si>
  <si>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</si>
  <si>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</si>
  <si>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</si>
  <si>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</si>
  <si>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</si>
  <si>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</si>
  <si>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</si>
  <si>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</si>
  <si>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</si>
  <si>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</si>
  <si>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</si>
  <si>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</si>
  <si>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</si>
  <si>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</si>
  <si>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</si>
  <si>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</si>
  <si>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</si>
  <si>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</si>
  <si>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</si>
  <si>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</si>
  <si>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</si>
  <si>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</si>
  <si>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</si>
  <si>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</si>
  <si>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</si>
  <si>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</si>
  <si>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</si>
  <si>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</si>
  <si>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</si>
  <si>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</si>
  <si>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</si>
  <si>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</si>
  <si>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</si>
  <si>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</si>
  <si>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</si>
  <si>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</si>
  <si>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</si>
  <si>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</si>
  <si>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</si>
  <si>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</si>
  <si>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</si>
  <si>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</si>
  <si>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</si>
  <si>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</si>
  <si>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</si>
  <si>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</si>
  <si>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</si>
  <si>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</si>
  <si>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</si>
  <si>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</si>
  <si>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</si>
  <si>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</si>
  <si>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</si>
  <si>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</si>
  <si>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</si>
  <si>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</si>
  <si>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</si>
  <si>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</si>
  <si>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</si>
  <si>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</si>
  <si>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</si>
  <si>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</si>
  <si>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</si>
  <si>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</si>
  <si>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</si>
  <si>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</si>
  <si>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</si>
  <si>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</si>
  <si>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</si>
  <si>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</si>
  <si>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</si>
  <si>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</si>
  <si>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</si>
  <si>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</si>
  <si>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</si>
  <si>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</si>
  <si>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</si>
  <si>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</si>
  <si>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</si>
  <si>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</si>
  <si>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</si>
  <si>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</si>
  <si>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</si>
  <si>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</si>
  <si>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</si>
  <si>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</si>
  <si>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</si>
  <si>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</si>
  <si>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</si>
  <si>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</si>
  <si>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</si>
  <si>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</si>
  <si>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</si>
  <si>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</si>
  <si>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</si>
  <si>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</si>
  <si>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</si>
  <si>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</si>
  <si>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</si>
  <si>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</si>
  <si>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</si>
  <si>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</si>
  <si>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</si>
  <si>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</si>
  <si>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</si>
  <si>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</si>
  <si>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</si>
  <si>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</si>
  <si>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</si>
  <si>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</si>
  <si>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</si>
  <si>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</si>
  <si>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</si>
  <si>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</si>
  <si>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</si>
  <si>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</si>
  <si>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</si>
  <si>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</si>
  <si>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</si>
  <si>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</si>
  <si>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</si>
  <si>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</si>
  <si>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</si>
  <si>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</si>
  <si>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</si>
  <si>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</si>
  <si>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</si>
  <si>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</si>
  <si>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</si>
  <si>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</si>
  <si>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</si>
  <si>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</si>
  <si>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</si>
  <si>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</si>
  <si>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</si>
  <si>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</si>
  <si>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</si>
  <si>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</si>
  <si>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</si>
  <si>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</si>
  <si>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</si>
  <si>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</si>
  <si>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</si>
  <si>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</si>
  <si>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</si>
  <si>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</si>
  <si>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</si>
  <si>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</si>
  <si>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</si>
  <si>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</si>
  <si>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</si>
  <si>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</si>
  <si>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</si>
  <si>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</si>
  <si>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</si>
  <si>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</si>
  <si>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</si>
  <si>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</si>
  <si>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</si>
  <si>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</si>
  <si>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</si>
  <si>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</si>
  <si>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</si>
  <si>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</si>
  <si>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</si>
  <si>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</si>
  <si>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</si>
  <si>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</si>
  <si>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</si>
  <si>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</si>
  <si>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</si>
  <si>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</si>
  <si>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</si>
  <si>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</si>
  <si>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</si>
  <si>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</si>
  <si>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</si>
  <si>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</si>
  <si>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</si>
  <si>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</si>
  <si>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</si>
  <si>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</si>
  <si>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</si>
  <si>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</si>
  <si>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</si>
  <si>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</si>
  <si>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</si>
  <si>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</si>
  <si>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</si>
  <si>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</si>
  <si>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</si>
  <si>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</si>
  <si>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</si>
  <si>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</si>
  <si>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</si>
  <si>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</si>
  <si>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</si>
  <si>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</si>
  <si>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</si>
  <si>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</si>
  <si>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</si>
  <si>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</si>
  <si>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</si>
  <si>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</si>
  <si>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</si>
  <si>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</si>
  <si>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</si>
  <si>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</si>
  <si>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</si>
  <si>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</si>
  <si>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</si>
  <si>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</si>
  <si>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</si>
  <si>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</si>
  <si>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</si>
  <si>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</si>
  <si>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</si>
  <si>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</si>
  <si>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</si>
  <si>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</si>
  <si>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</si>
  <si>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</si>
  <si>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</si>
  <si>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</si>
  <si>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</si>
  <si>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</si>
  <si>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</si>
  <si>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</si>
  <si>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</si>
  <si>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</si>
  <si>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</si>
  <si>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</si>
  <si>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</si>
  <si>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</si>
  <si>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</si>
  <si>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</si>
  <si>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</si>
  <si>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</si>
  <si>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</si>
  <si>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</si>
  <si>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</si>
  <si>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</si>
  <si>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</si>
  <si>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</si>
  <si>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</si>
  <si>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</si>
  <si>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</si>
  <si>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</si>
  <si>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</si>
  <si>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</si>
  <si>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</si>
  <si>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</si>
  <si>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</si>
  <si>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</si>
  <si>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</si>
  <si>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</si>
  <si>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</si>
  <si>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</si>
  <si>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</si>
  <si>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</si>
  <si>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</si>
  <si>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</si>
  <si>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</si>
  <si>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</si>
  <si>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</si>
  <si>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</si>
  <si>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</si>
  <si>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</si>
  <si>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</si>
  <si>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</si>
  <si>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</si>
  <si>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</si>
  <si>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</si>
  <si>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</si>
  <si>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</si>
  <si>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</si>
  <si>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</si>
  <si>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</si>
  <si>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</si>
  <si>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</si>
  <si>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</si>
  <si>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</si>
  <si>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</si>
  <si>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</si>
  <si>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</si>
  <si>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</si>
  <si>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</si>
  <si>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</si>
  <si>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</si>
  <si>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</si>
  <si>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</si>
  <si>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</si>
  <si>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</si>
  <si>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</si>
  <si>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</si>
  <si>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</si>
  <si>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</si>
  <si>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</si>
  <si>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</si>
  <si>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</si>
  <si>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</si>
  <si>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</si>
  <si>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</si>
  <si>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</si>
  <si>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</si>
  <si>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</si>
  <si>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</si>
  <si>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</si>
  <si>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</si>
  <si>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</si>
  <si>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</si>
  <si>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</si>
  <si>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</si>
  <si>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</si>
  <si>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</si>
  <si>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</si>
  <si>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</si>
  <si>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</si>
  <si>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</si>
  <si>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</si>
  <si>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</si>
  <si>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</si>
  <si>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</si>
  <si>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</si>
  <si>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</si>
  <si>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</si>
  <si>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</si>
  <si>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</si>
  <si>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</si>
  <si>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</si>
  <si>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</si>
  <si>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</si>
  <si>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</si>
  <si>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</si>
  <si>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</si>
  <si>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</si>
  <si>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</si>
  <si>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</si>
  <si>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</si>
  <si>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</si>
  <si>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</si>
  <si>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</si>
  <si>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</si>
  <si>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</si>
  <si>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</si>
  <si>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</si>
  <si>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</si>
  <si>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</si>
  <si>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</si>
  <si>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</si>
  <si>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</si>
  <si>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</si>
  <si>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</si>
  <si>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</si>
  <si>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</si>
  <si>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</si>
  <si>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</si>
  <si>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</si>
  <si>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</si>
  <si>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</si>
  <si>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</si>
  <si>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</si>
  <si>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</si>
  <si>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</si>
  <si>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</si>
  <si>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</si>
  <si>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</si>
  <si>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</si>
  <si>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</si>
  <si>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</si>
  <si>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</si>
  <si>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</si>
  <si>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</si>
  <si>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</si>
  <si>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</si>
  <si>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</si>
  <si>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</si>
  <si>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</si>
  <si>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</si>
  <si>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</si>
  <si>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</si>
  <si>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</si>
  <si>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</si>
  <si>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</si>
  <si>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</si>
  <si>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</si>
  <si>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</si>
  <si>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</si>
  <si>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</si>
  <si>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</si>
  <si>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</si>
  <si>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</si>
  <si>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</si>
  <si>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</si>
  <si>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</si>
  <si>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</si>
  <si>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</si>
  <si>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</si>
  <si>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</si>
  <si>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</si>
  <si>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</si>
  <si>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</si>
  <si>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</si>
  <si>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</si>
  <si>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</si>
  <si>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</si>
  <si>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</si>
  <si>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</si>
  <si>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</si>
  <si>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</si>
  <si>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</si>
  <si>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</si>
  <si>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</si>
  <si>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</si>
  <si>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</si>
  <si>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</si>
  <si>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</si>
  <si>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</si>
  <si>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</si>
  <si>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</si>
  <si>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</si>
  <si>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</si>
  <si>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</si>
  <si>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</si>
  <si>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</si>
  <si>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</si>
  <si>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</si>
  <si>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</si>
  <si>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</si>
  <si>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</si>
  <si>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</si>
  <si>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</si>
  <si>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</si>
  <si>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</si>
  <si>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</si>
  <si>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</si>
  <si>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</si>
  <si>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</si>
  <si>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</si>
  <si>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</si>
  <si>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</si>
  <si>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</si>
  <si>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</si>
  <si>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</si>
  <si>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</si>
  <si>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</si>
  <si>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</si>
  <si>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</si>
  <si>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</si>
  <si>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</si>
  <si>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</si>
  <si>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</si>
  <si>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</si>
  <si>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</si>
  <si>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</si>
  <si>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</si>
  <si>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</si>
  <si>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</si>
  <si>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</si>
  <si>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</si>
  <si>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</si>
  <si>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</si>
  <si>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</si>
  <si>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</si>
  <si>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</si>
  <si>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</si>
  <si>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</si>
  <si>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</si>
  <si>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</si>
  <si>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</si>
  <si>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</si>
  <si>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</si>
  <si>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</si>
  <si>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</si>
  <si>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</si>
  <si>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</si>
  <si>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</si>
  <si>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</si>
  <si>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</si>
  <si>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</si>
  <si>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</si>
  <si>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</si>
  <si>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</si>
  <si>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</si>
  <si>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</si>
  <si>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</si>
  <si>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</si>
  <si>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</si>
  <si>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</si>
  <si>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</si>
  <si>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</si>
  <si>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</si>
  <si>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</si>
  <si>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</si>
  <si>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</si>
  <si>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</si>
  <si>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</si>
  <si>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</si>
  <si>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</si>
  <si>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</si>
  <si>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</si>
  <si>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</si>
  <si>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</si>
  <si>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</si>
  <si>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</si>
  <si>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</si>
  <si>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</si>
  <si>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</si>
  <si>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</si>
  <si>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</si>
  <si>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</si>
  <si>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</si>
  <si>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</si>
  <si>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</si>
  <si>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</si>
  <si>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</si>
  <si>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</si>
  <si>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</si>
  <si>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</si>
  <si>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</si>
  <si>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</si>
  <si>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</si>
  <si>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</si>
  <si>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</si>
  <si>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</si>
  <si>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</si>
  <si>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</si>
  <si>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</si>
  <si>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</si>
  <si>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</si>
  <si>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</si>
  <si>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</si>
  <si>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</si>
  <si>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</si>
  <si>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</si>
  <si>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</si>
  <si>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</si>
  <si>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</si>
  <si>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</si>
  <si>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</si>
  <si>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</si>
  <si>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</si>
  <si>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</si>
  <si>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</si>
  <si>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</si>
  <si>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</si>
  <si>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</si>
  <si>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</si>
  <si>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</si>
  <si>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</si>
  <si>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</si>
  <si>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</si>
  <si>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</si>
  <si>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</si>
  <si>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</si>
  <si>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</si>
  <si>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</si>
  <si>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</si>
  <si>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</si>
  <si>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</si>
  <si>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</si>
  <si>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</si>
  <si>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</si>
  <si>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</si>
  <si>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</si>
  <si>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</si>
  <si>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</si>
  <si>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</si>
  <si>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</si>
  <si>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</si>
  <si>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</si>
  <si>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</si>
  <si>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</si>
  <si>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</si>
  <si>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</si>
  <si>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</si>
  <si>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</si>
  <si>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</si>
  <si>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</si>
  <si>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</si>
  <si>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</si>
  <si>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</si>
  <si>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</si>
  <si>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</si>
  <si>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</si>
  <si>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</si>
  <si>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</si>
  <si>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</si>
  <si>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</si>
  <si>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</si>
  <si>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</si>
  <si>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</si>
  <si>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</si>
  <si>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</si>
  <si>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</si>
  <si>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</si>
  <si>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</si>
  <si>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</si>
  <si>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</si>
  <si>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</si>
  <si>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</si>
  <si>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</si>
  <si>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</si>
  <si>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</si>
  <si>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</si>
  <si>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</si>
  <si>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</si>
  <si>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</si>
  <si>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</si>
  <si>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</si>
  <si>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</si>
  <si>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</si>
  <si>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</si>
  <si>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</si>
  <si>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</si>
  <si>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</si>
  <si>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</si>
  <si>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</si>
  <si>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</si>
  <si>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</si>
  <si>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</si>
  <si>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</si>
  <si>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</si>
  <si>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</si>
  <si>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</si>
  <si>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</si>
  <si>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</si>
  <si>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</si>
  <si>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</si>
  <si>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</si>
  <si>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</si>
  <si>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</si>
  <si>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</si>
  <si>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</si>
  <si>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</si>
  <si>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</si>
  <si>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</si>
  <si>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</si>
  <si>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</si>
  <si>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</si>
  <si>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</si>
  <si>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</si>
  <si>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</si>
  <si>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</si>
  <si>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</si>
  <si>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</si>
  <si>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</si>
  <si>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</si>
  <si>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</si>
  <si>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</si>
  <si>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</si>
  <si>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</si>
  <si>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</si>
  <si>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</si>
  <si>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</si>
  <si>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</si>
  <si>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</si>
  <si>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</si>
  <si>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</si>
  <si>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</si>
  <si>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</si>
  <si>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</si>
  <si>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</si>
  <si>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</si>
  <si>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</si>
  <si>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</si>
  <si>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</si>
  <si>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</si>
  <si>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</si>
  <si>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</si>
  <si>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</si>
  <si>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</si>
  <si>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</si>
  <si>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</si>
  <si>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</si>
  <si>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</si>
  <si>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</si>
  <si>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</si>
  <si>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</si>
  <si>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</si>
  <si>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</si>
  <si>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</si>
  <si>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</si>
  <si>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</si>
  <si>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</si>
  <si>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</si>
  <si>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</si>
  <si>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</si>
  <si>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</si>
  <si>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</si>
  <si>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</si>
  <si>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</si>
  <si>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</si>
  <si>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</si>
  <si>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</si>
  <si>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</si>
  <si>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</si>
  <si>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</si>
  <si>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</si>
  <si>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</si>
  <si>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</si>
  <si>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</si>
  <si>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</si>
  <si>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</si>
  <si>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</si>
  <si>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</si>
  <si>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</si>
  <si>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</si>
  <si>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</si>
  <si>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</si>
  <si>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</si>
  <si>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</si>
  <si>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</si>
  <si>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</si>
  <si>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</si>
  <si>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</si>
  <si>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</si>
  <si>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</si>
  <si>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</si>
  <si>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</si>
  <si>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</si>
  <si>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</si>
  <si>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</si>
  <si>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</si>
  <si>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</si>
  <si>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</si>
  <si>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</si>
  <si>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</si>
  <si>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</si>
  <si>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</si>
  <si>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</si>
  <si>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</si>
  <si>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</si>
  <si>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</si>
  <si>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</si>
  <si>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</si>
  <si>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</si>
  <si>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</si>
  <si>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</si>
  <si>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</si>
  <si>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</si>
  <si>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</si>
  <si>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</si>
  <si>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</si>
  <si>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</si>
  <si>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</si>
  <si>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</si>
  <si>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</si>
  <si>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</si>
  <si>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</si>
  <si>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</si>
  <si>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</si>
  <si>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</si>
  <si>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</si>
  <si>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</si>
  <si>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</si>
  <si>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</si>
  <si>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</si>
  <si>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</si>
  <si>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</si>
  <si>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</si>
  <si>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</si>
  <si>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</si>
  <si>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</si>
  <si>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</si>
  <si>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</si>
  <si>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</si>
  <si>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</si>
  <si>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</si>
  <si>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</si>
  <si>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</si>
  <si>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</si>
  <si>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</si>
  <si>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</si>
  <si>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</si>
  <si>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</si>
  <si>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</si>
  <si>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</si>
  <si>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</si>
  <si>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</si>
  <si>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</si>
  <si>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</si>
  <si>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</si>
  <si>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</si>
  <si>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</si>
  <si>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</si>
  <si>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</si>
  <si>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</si>
  <si>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</si>
  <si>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</si>
  <si>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</si>
  <si>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</si>
  <si>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</si>
  <si>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</si>
  <si>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</si>
  <si>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</si>
  <si>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</si>
  <si>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</si>
  <si>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</si>
  <si>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</si>
  <si>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</si>
  <si>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</si>
  <si>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</si>
  <si>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</si>
  <si>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</si>
  <si>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</si>
  <si>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</si>
  <si>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</si>
  <si>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</si>
  <si>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</si>
  <si>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</si>
  <si>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</si>
  <si>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</si>
  <si>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</si>
  <si>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</si>
  <si>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</si>
  <si>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</si>
  <si>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</si>
  <si>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</si>
  <si>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</si>
  <si>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</si>
  <si>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</si>
  <si>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</si>
  <si>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</si>
  <si>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</si>
  <si>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</si>
  <si>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</si>
  <si>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</si>
  <si>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</si>
  <si>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</si>
  <si>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</si>
  <si>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</si>
  <si>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</si>
  <si>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</si>
  <si>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</si>
  <si>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</si>
  <si>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</si>
  <si>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</si>
  <si>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</si>
  <si>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</si>
  <si>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</si>
  <si>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</si>
  <si>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</si>
  <si>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</si>
  <si>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</si>
  <si>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</si>
  <si>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</si>
  <si>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</si>
  <si>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</si>
  <si>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</si>
  <si>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</si>
  <si>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</si>
  <si>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</si>
  <si>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</si>
  <si>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</si>
  <si>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</si>
  <si>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</si>
  <si>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</si>
  <si>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</si>
  <si>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</si>
  <si>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</si>
  <si>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</si>
  <si>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</si>
  <si>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</si>
  <si>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</si>
  <si>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</si>
  <si>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</si>
  <si>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</si>
  <si>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</si>
  <si>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</si>
  <si>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</si>
  <si>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</si>
  <si>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</si>
  <si>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</si>
  <si>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</si>
  <si>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</si>
  <si>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</si>
  <si>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</si>
  <si>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</si>
  <si>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</si>
  <si>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</si>
  <si>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</si>
  <si>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</si>
  <si>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</si>
  <si>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</si>
  <si>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</si>
  <si>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</si>
  <si>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</si>
  <si>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</si>
  <si>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</si>
  <si>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</si>
  <si>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</si>
  <si>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</si>
  <si>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</si>
  <si>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</si>
  <si>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</si>
  <si>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</si>
  <si>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</si>
  <si>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</si>
  <si>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</si>
  <si>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</si>
  <si>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</si>
  <si>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</si>
  <si>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</si>
  <si>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</si>
  <si>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</si>
  <si>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</si>
  <si>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</si>
  <si>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</si>
  <si>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</si>
  <si>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</si>
  <si>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</si>
  <si>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</si>
  <si>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</si>
  <si>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</si>
  <si>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</si>
  <si>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</si>
  <si>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</si>
  <si>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</si>
  <si>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</si>
  <si>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</si>
  <si>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</si>
  <si>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</si>
  <si>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</si>
  <si>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</si>
  <si>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</si>
  <si>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</si>
  <si>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</si>
  <si>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</si>
  <si>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</si>
  <si>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</si>
  <si>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</si>
  <si>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</si>
  <si>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</si>
  <si>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</si>
  <si>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</si>
  <si>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</si>
  <si>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</si>
  <si>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</si>
  <si>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</si>
  <si>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</si>
  <si>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</si>
  <si>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</si>
  <si>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</si>
  <si>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</si>
  <si>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</si>
  <si>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</si>
  <si>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</si>
  <si>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</si>
  <si>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</si>
  <si>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</si>
  <si>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</si>
  <si>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</si>
  <si>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</si>
  <si>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</si>
  <si>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</si>
  <si>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</si>
  <si>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</si>
  <si>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</si>
  <si>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</si>
  <si>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</si>
  <si>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</si>
  <si>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</si>
  <si>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</si>
  <si>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</si>
  <si>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</si>
  <si>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</si>
  <si>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</si>
  <si>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</si>
  <si>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</si>
  <si>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</si>
  <si>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</si>
  <si>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</si>
  <si>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</si>
  <si>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</si>
  <si>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</si>
  <si>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</si>
  <si>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</si>
  <si>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</si>
  <si>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</si>
  <si>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</si>
  <si>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</si>
  <si>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</si>
  <si>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</si>
  <si>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</si>
  <si>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</si>
  <si>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</si>
  <si>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</si>
  <si>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</si>
  <si>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</si>
  <si>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</si>
  <si>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</si>
  <si>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</si>
  <si>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</si>
  <si>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</si>
  <si>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</si>
  <si>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</si>
  <si>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</si>
  <si>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</si>
  <si>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</si>
  <si>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</si>
  <si>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</si>
  <si>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</si>
  <si>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</si>
  <si>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</si>
  <si>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</si>
  <si>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</si>
  <si>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</si>
  <si>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</si>
  <si>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</si>
  <si>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</si>
  <si>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</si>
  <si>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</si>
  <si>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</si>
  <si>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</si>
  <si>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</si>
  <si>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</si>
  <si>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</si>
  <si>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</si>
  <si>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</si>
  <si>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</si>
  <si>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</si>
  <si>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</si>
  <si>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</si>
  <si>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</si>
  <si>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</si>
  <si>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</si>
  <si>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</si>
  <si>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</si>
  <si>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</si>
  <si>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</si>
  <si>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</si>
  <si>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</si>
  <si>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</si>
  <si>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</si>
  <si>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</si>
  <si>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</si>
  <si>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</si>
  <si>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</si>
  <si>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</si>
  <si>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</si>
  <si>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</si>
  <si>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</si>
  <si>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</si>
  <si>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</si>
  <si>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</si>
  <si>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</si>
  <si>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</si>
  <si>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</si>
  <si>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</si>
  <si>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</si>
  <si>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</si>
  <si>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</si>
  <si>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</si>
  <si>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</si>
  <si>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</si>
  <si>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</si>
  <si>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</si>
  <si>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</si>
  <si>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</si>
  <si>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</si>
  <si>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</si>
  <si>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</si>
  <si>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</si>
  <si>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</si>
  <si>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</si>
  <si>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</si>
  <si>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</si>
  <si>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</si>
  <si>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</si>
  <si>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</si>
  <si>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</si>
  <si>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</si>
  <si>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</si>
  <si>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</si>
  <si>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</si>
  <si>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</si>
  <si>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</si>
  <si>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</si>
  <si>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</si>
  <si>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</si>
  <si>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</si>
  <si>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</si>
  <si>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</si>
  <si>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</si>
  <si>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</si>
  <si>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</si>
  <si>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</si>
  <si>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</si>
  <si>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</si>
  <si>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</si>
  <si>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</si>
  <si>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</si>
  <si>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</si>
  <si>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</si>
  <si>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</si>
  <si>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</si>
  <si>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</si>
  <si>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</si>
  <si>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</si>
  <si>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</si>
  <si>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</si>
  <si>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</si>
  <si>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</si>
  <si>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</si>
  <si>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</si>
  <si>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</si>
  <si>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</si>
  <si>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</si>
  <si>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</si>
  <si>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</si>
  <si>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</si>
  <si>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</si>
  <si>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</si>
  <si>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</si>
  <si>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</si>
  <si>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</si>
  <si>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</si>
  <si>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</si>
  <si>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</si>
  <si>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</si>
  <si>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</si>
  <si>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</si>
  <si>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</si>
  <si>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</si>
  <si>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</si>
  <si>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</si>
  <si>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</si>
  <si>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</si>
  <si>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</si>
  <si>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</si>
  <si>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</si>
  <si>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</si>
  <si>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</si>
  <si>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</si>
  <si>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</si>
  <si>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</si>
  <si>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</si>
  <si>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</si>
  <si>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</si>
  <si>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</si>
  <si>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</si>
  <si>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</si>
  <si>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</si>
  <si>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</si>
  <si>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</si>
  <si>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</si>
  <si>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</si>
  <si>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</si>
  <si>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</si>
  <si>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</si>
  <si>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</si>
  <si>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</si>
  <si>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</si>
  <si>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</si>
  <si>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</si>
  <si>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</si>
  <si>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</si>
  <si>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</si>
  <si>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</si>
  <si>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</si>
  <si>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</si>
  <si>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</si>
  <si>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</si>
  <si>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</si>
  <si>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</si>
  <si>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</si>
  <si>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</si>
  <si>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</si>
  <si>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</si>
  <si>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</si>
  <si>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</si>
  <si>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</si>
  <si>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</si>
  <si>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</si>
  <si>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</si>
  <si>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</si>
  <si>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</si>
  <si>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</si>
  <si>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</si>
  <si>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</si>
  <si>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</si>
  <si>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</si>
  <si>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</si>
  <si>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</si>
  <si>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</si>
  <si>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</si>
  <si>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</si>
  <si>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</si>
  <si>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</si>
  <si>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</si>
  <si>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</si>
  <si>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</si>
  <si>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</si>
  <si>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</si>
  <si>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</si>
  <si>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</si>
  <si>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</si>
  <si>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</si>
  <si>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</si>
  <si>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</si>
  <si>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</si>
  <si>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</si>
  <si>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</si>
  <si>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</si>
  <si>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</si>
  <si>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</si>
  <si>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</si>
  <si>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</si>
  <si>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</si>
  <si>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</si>
  <si>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</si>
  <si>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</si>
  <si>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</si>
  <si>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</si>
  <si>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</si>
  <si>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</si>
  <si>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</si>
  <si>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</si>
  <si>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</si>
  <si>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</si>
  <si>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</si>
  <si>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</si>
  <si>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</si>
  <si>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</si>
  <si>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</si>
  <si>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</si>
  <si>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</si>
  <si>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</si>
  <si>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</si>
  <si>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</si>
  <si>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</si>
  <si>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</si>
  <si>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</si>
  <si>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</si>
  <si>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</si>
  <si>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</si>
  <si>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</si>
  <si>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</si>
  <si>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</si>
  <si>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</si>
  <si>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</si>
  <si>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</si>
  <si>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</si>
  <si>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</si>
  <si>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</si>
  <si>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</si>
  <si>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</si>
  <si>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</si>
  <si>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</si>
  <si>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</si>
  <si>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</si>
  <si>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</si>
  <si>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</si>
  <si>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</si>
  <si>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</si>
  <si>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</si>
  <si>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</si>
  <si>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</si>
  <si>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</si>
  <si>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</si>
  <si>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</si>
  <si>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</si>
  <si>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</si>
  <si>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</si>
  <si>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</si>
  <si>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</si>
  <si>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</si>
  <si>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</si>
  <si>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</si>
  <si>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</si>
  <si>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</si>
  <si>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</si>
  <si>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</si>
  <si>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</si>
  <si>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</si>
  <si>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</si>
  <si>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</si>
  <si>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</si>
  <si>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</si>
  <si>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</si>
  <si>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</si>
  <si>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</si>
  <si>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</si>
  <si>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</si>
  <si>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</si>
  <si>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</si>
  <si>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</si>
  <si>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</si>
  <si>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</si>
  <si>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</si>
  <si>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</si>
  <si>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</si>
  <si>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</si>
  <si>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</si>
  <si>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</si>
  <si>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</si>
  <si>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</si>
  <si>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</si>
  <si>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</si>
  <si>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</si>
  <si>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</si>
  <si>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</si>
  <si>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</si>
  <si>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</si>
  <si>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</si>
  <si>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</si>
  <si>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</si>
  <si>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</si>
  <si>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</si>
  <si>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</si>
  <si>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</si>
  <si>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</si>
  <si>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</si>
  <si>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</si>
  <si>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</si>
  <si>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</si>
  <si>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</si>
  <si>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</si>
  <si>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</si>
  <si>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</si>
  <si>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</si>
  <si>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</si>
  <si>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</si>
  <si>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</si>
  <si>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</si>
  <si>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</si>
  <si>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</si>
  <si>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</si>
  <si>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</si>
  <si>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</si>
  <si>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</si>
  <si>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</si>
  <si>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</si>
  <si>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</si>
  <si>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</si>
  <si>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</si>
  <si>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</si>
  <si>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</si>
  <si>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</si>
  <si>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</si>
  <si>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</si>
  <si>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</si>
  <si>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</si>
  <si>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</si>
  <si>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</si>
  <si>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</si>
  <si>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</si>
  <si>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</si>
  <si>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</si>
  <si>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</si>
  <si>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</si>
  <si>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</si>
  <si>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</si>
  <si>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</si>
  <si>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</si>
  <si>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</si>
  <si>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</si>
  <si>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</si>
  <si>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</si>
  <si>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</si>
  <si>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</si>
  <si>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</si>
  <si>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</si>
  <si>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</si>
  <si>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</si>
  <si>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</si>
  <si>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</si>
  <si>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</si>
  <si>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</si>
  <si>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</si>
  <si>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</si>
  <si>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</si>
  <si>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</si>
  <si>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</si>
  <si>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</si>
  <si>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</si>
  <si>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</si>
  <si>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</si>
  <si>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</si>
  <si>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</si>
  <si>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</si>
  <si>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</si>
  <si>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</si>
  <si>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</si>
  <si>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</si>
  <si>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</si>
  <si>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</si>
  <si>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</si>
  <si>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</si>
  <si>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</si>
  <si>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</si>
  <si>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</si>
  <si>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</si>
  <si>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</si>
  <si>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</si>
  <si>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</si>
  <si>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</si>
  <si>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</si>
  <si>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</si>
  <si>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</si>
  <si>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</si>
  <si>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</si>
  <si>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</si>
  <si>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</si>
  <si>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</si>
  <si>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</si>
  <si>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</si>
  <si>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</si>
  <si>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</si>
  <si>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</si>
  <si>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</si>
  <si>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</si>
  <si>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</si>
  <si>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</si>
  <si>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</si>
  <si>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</si>
  <si>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</si>
  <si>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</si>
  <si>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</si>
  <si>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</si>
  <si>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</si>
  <si>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</si>
  <si>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</si>
  <si>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</si>
  <si>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</si>
  <si>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</si>
  <si>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</si>
  <si>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</si>
  <si>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</si>
  <si>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</si>
  <si>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</si>
  <si>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</si>
  <si>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</si>
  <si>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</si>
  <si>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</si>
  <si>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</si>
  <si>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</si>
  <si>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</si>
  <si>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</si>
  <si>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</si>
  <si>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</si>
  <si>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</si>
  <si>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</si>
  <si>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</si>
  <si>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</si>
  <si>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</si>
  <si>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</si>
  <si>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</si>
  <si>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</si>
  <si>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</si>
  <si>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</si>
  <si>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</si>
  <si>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</si>
  <si>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</si>
  <si>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</si>
  <si>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</si>
  <si>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</si>
  <si>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</si>
  <si>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</si>
  <si>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</si>
  <si>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</si>
  <si>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</si>
  <si>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</si>
  <si>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</si>
  <si>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</si>
  <si>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</si>
  <si>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</si>
  <si>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</si>
  <si>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</si>
  <si>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</si>
  <si>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</si>
  <si>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</si>
  <si>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</si>
  <si>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</si>
  <si>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</si>
  <si>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</si>
  <si>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</si>
  <si>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</si>
  <si>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</si>
  <si>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</si>
  <si>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</si>
  <si>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</si>
  <si>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</si>
  <si>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</si>
  <si>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</si>
  <si>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</si>
  <si>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</si>
  <si>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</si>
  <si>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</si>
  <si>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</si>
  <si>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</si>
  <si>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</si>
  <si>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</si>
  <si>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</si>
  <si>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</si>
  <si>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</si>
  <si>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</si>
  <si>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</si>
  <si>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</si>
  <si>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</si>
  <si>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</si>
  <si>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</si>
  <si>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</si>
  <si>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</si>
  <si>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</si>
  <si>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</si>
  <si>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</si>
  <si>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</si>
  <si>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</si>
  <si>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</si>
  <si>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</si>
  <si>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</si>
  <si>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</si>
  <si>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</si>
  <si>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</si>
  <si>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</si>
  <si>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</si>
  <si>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</si>
  <si>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</si>
  <si>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</si>
  <si>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</si>
  <si>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</si>
  <si>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</si>
  <si>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</si>
  <si>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</si>
  <si>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</si>
  <si>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</si>
  <si>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</si>
  <si>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</si>
  <si>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</si>
  <si>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</si>
  <si>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</si>
  <si>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</si>
  <si>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</si>
  <si>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</si>
  <si>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</si>
  <si>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</si>
  <si>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</si>
  <si>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</si>
  <si>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</si>
  <si>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</si>
  <si>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</si>
  <si>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</si>
  <si>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</si>
  <si>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</si>
  <si>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</si>
  <si>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</si>
  <si>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</si>
  <si>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</si>
  <si>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</si>
  <si>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</si>
  <si>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</si>
  <si>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</si>
  <si>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</si>
  <si>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</si>
  <si>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</si>
  <si>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</si>
  <si>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</si>
  <si>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</si>
  <si>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</si>
  <si>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</si>
  <si>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</si>
  <si>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</si>
  <si>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</si>
  <si>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</si>
  <si>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</si>
  <si>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</si>
  <si>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</si>
  <si>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</si>
  <si>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</si>
  <si>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</si>
  <si>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</si>
  <si>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</si>
  <si>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</si>
  <si>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</si>
  <si>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</si>
  <si>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</si>
  <si>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</si>
  <si>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</si>
  <si>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</si>
  <si>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</si>
  <si>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</si>
  <si>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</si>
  <si>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</si>
  <si>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</si>
  <si>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</si>
  <si>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</si>
  <si>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</si>
  <si>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</si>
  <si>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</si>
  <si>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</si>
  <si>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</si>
  <si>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</si>
  <si>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</si>
  <si>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</si>
  <si>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</si>
  <si>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</si>
  <si>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</si>
  <si>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</si>
  <si>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</si>
  <si>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</si>
  <si>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</si>
  <si>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</si>
  <si>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</si>
  <si>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</si>
  <si>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</si>
  <si>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</si>
  <si>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</si>
  <si>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</si>
  <si>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</si>
  <si>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</si>
  <si>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</si>
  <si>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</si>
  <si>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</si>
  <si>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</si>
  <si>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</si>
  <si>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</si>
  <si>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</si>
  <si>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</si>
  <si>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</si>
  <si>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</si>
  <si>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</si>
  <si>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</si>
  <si>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</si>
  <si>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</si>
  <si>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</si>
  <si>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</si>
  <si>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</si>
  <si>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</si>
  <si>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</si>
  <si>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</si>
  <si>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</si>
  <si>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</si>
  <si>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</si>
  <si>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</si>
  <si>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</si>
  <si>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</si>
  <si>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</si>
  <si>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</si>
  <si>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</si>
  <si>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</si>
  <si>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</si>
  <si>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</si>
  <si>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</si>
  <si>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</si>
  <si>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</si>
  <si>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</si>
  <si>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</si>
  <si>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</si>
  <si>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</si>
  <si>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</si>
  <si>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</si>
  <si>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</si>
  <si>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</si>
  <si>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</si>
  <si>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</si>
  <si>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</si>
  <si>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</si>
  <si>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</si>
  <si>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</si>
  <si>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</si>
  <si>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</si>
  <si>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</si>
  <si>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</si>
  <si>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</si>
  <si>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</si>
  <si>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</si>
  <si>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</si>
  <si>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</si>
  <si>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</si>
  <si>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</si>
  <si>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</si>
  <si>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</si>
  <si>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</si>
  <si>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</si>
  <si>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</si>
  <si>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</si>
  <si>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</si>
  <si>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</si>
  <si>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</si>
  <si>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</si>
  <si>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</si>
  <si>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</si>
  <si>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</si>
  <si>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</si>
  <si>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</si>
  <si>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</si>
  <si>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</si>
  <si>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</si>
  <si>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</si>
  <si>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</si>
  <si>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</si>
  <si>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</si>
  <si>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</si>
  <si>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</si>
  <si>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</si>
  <si>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</si>
  <si>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</si>
  <si>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</si>
  <si>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</si>
  <si>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</si>
  <si>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</si>
  <si>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</si>
  <si>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</si>
  <si>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</si>
  <si>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</si>
  <si>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</si>
  <si>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</si>
  <si>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</si>
  <si>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</si>
  <si>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</si>
  <si>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</si>
  <si>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</si>
  <si>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</si>
  <si>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</si>
  <si>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</si>
  <si>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</si>
  <si>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</si>
  <si>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</si>
  <si>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</si>
  <si>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</si>
  <si>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</si>
  <si>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</si>
  <si>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</si>
  <si>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</si>
  <si>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</si>
  <si>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</si>
  <si>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</si>
  <si>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</si>
  <si>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</si>
  <si>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</si>
  <si>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</si>
  <si>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</si>
  <si>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</si>
  <si>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</si>
  <si>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</si>
  <si>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</si>
  <si>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</si>
  <si>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</si>
  <si>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</si>
  <si>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</si>
  <si>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</si>
  <si>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</si>
  <si>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</si>
  <si>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</si>
  <si>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</si>
  <si>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</si>
  <si>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</si>
  <si>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</si>
  <si>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</si>
  <si>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</si>
  <si>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</si>
  <si>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</si>
  <si>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</si>
  <si>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</si>
  <si>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</si>
  <si>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</si>
  <si>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</si>
  <si>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</si>
  <si>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</si>
  <si>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</si>
  <si>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</si>
  <si>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</si>
  <si>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</si>
  <si>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</si>
  <si>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</si>
  <si>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</si>
  <si>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</si>
  <si>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</si>
  <si>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</si>
  <si>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</si>
  <si>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</si>
  <si>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</si>
  <si>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</si>
  <si>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</si>
  <si>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</si>
  <si>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</si>
  <si>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</si>
  <si>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</si>
  <si>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</si>
  <si>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</si>
  <si>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</si>
  <si>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</si>
  <si>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</si>
  <si>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</si>
  <si>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</si>
  <si>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</si>
  <si>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</si>
  <si>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</si>
  <si>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</si>
  <si>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</si>
  <si>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</si>
  <si>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</si>
  <si>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</si>
  <si>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</si>
  <si>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</si>
  <si>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</si>
  <si>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</si>
  <si>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</si>
  <si>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</si>
  <si>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</si>
  <si>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</si>
  <si>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</si>
  <si>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</si>
  <si>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</si>
  <si>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</si>
  <si>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</si>
  <si>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</si>
  <si>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</si>
  <si>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</si>
  <si>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</si>
  <si>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</si>
  <si>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</si>
  <si>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</si>
  <si>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</si>
  <si>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</si>
  <si>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</si>
  <si>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</si>
  <si>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</si>
  <si>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</si>
  <si>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</si>
  <si>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</si>
  <si>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</si>
  <si>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</si>
  <si>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</si>
  <si>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</si>
  <si>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</si>
  <si>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</si>
  <si>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</si>
  <si>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</si>
  <si>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</si>
  <si>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</si>
  <si>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</si>
  <si>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</si>
  <si>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</si>
  <si>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</si>
  <si>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</si>
  <si>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</si>
  <si>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</si>
  <si>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</si>
  <si>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</si>
  <si>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</si>
  <si>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</si>
  <si>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</si>
  <si>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</si>
  <si>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</si>
  <si>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</si>
  <si>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</si>
  <si>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</si>
  <si>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</si>
  <si>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</si>
  <si>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</si>
  <si>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</si>
  <si>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</si>
  <si>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</si>
  <si>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</si>
  <si>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</si>
  <si>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</si>
  <si>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</si>
  <si>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</si>
  <si>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</si>
  <si>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</si>
  <si>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</si>
  <si>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</si>
  <si>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</si>
  <si>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</si>
  <si>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</si>
  <si>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</si>
  <si>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</si>
  <si>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</si>
  <si>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</si>
  <si>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</si>
  <si>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</si>
  <si>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</si>
  <si>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</si>
  <si>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</si>
  <si>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</si>
  <si>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</si>
  <si>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</si>
  <si>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</si>
  <si>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</si>
  <si>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</si>
  <si>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</si>
  <si>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</si>
  <si>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</si>
  <si>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</si>
  <si>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</si>
  <si>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</si>
  <si>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</si>
  <si>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</si>
  <si>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</si>
  <si>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</si>
  <si>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</si>
  <si>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</si>
  <si>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</si>
  <si>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</si>
  <si>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</si>
  <si>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</si>
  <si>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</si>
  <si>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</si>
  <si>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</si>
  <si>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</si>
  <si>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</si>
  <si>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</si>
  <si>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</si>
  <si>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</si>
  <si>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</si>
  <si>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</si>
  <si>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</si>
  <si>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</si>
  <si>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</si>
  <si>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</si>
  <si>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</si>
  <si>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</si>
  <si>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</si>
  <si>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</si>
  <si>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</si>
  <si>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</si>
  <si>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</si>
  <si>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</si>
  <si>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</si>
  <si>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</si>
  <si>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</si>
  <si>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</si>
  <si>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</si>
  <si>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</si>
  <si>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</si>
  <si>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</si>
  <si>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</si>
  <si>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</si>
  <si>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</si>
  <si>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</si>
  <si>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</si>
  <si>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</si>
  <si>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</si>
  <si>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</si>
  <si>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</si>
  <si>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</si>
  <si>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</si>
  <si>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</si>
  <si>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</si>
  <si>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</si>
  <si>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</si>
  <si>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</si>
  <si>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</si>
  <si>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</si>
  <si>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</si>
  <si>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</si>
  <si>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</si>
  <si>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</si>
  <si>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</si>
  <si>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</si>
  <si>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</si>
  <si>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</si>
  <si>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</si>
  <si>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</si>
  <si>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</si>
  <si>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</si>
  <si>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</si>
  <si>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</si>
  <si>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</si>
  <si>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</si>
  <si>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</si>
  <si>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</si>
  <si>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</si>
  <si>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</si>
  <si>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</si>
  <si>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</si>
  <si>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</si>
  <si>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</si>
  <si>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</si>
  <si>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</si>
  <si>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</si>
  <si>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</si>
  <si>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</si>
  <si>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</si>
  <si>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</si>
  <si>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</si>
  <si>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</si>
  <si>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</si>
  <si>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</si>
  <si>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</si>
  <si>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</si>
  <si>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</si>
  <si>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</si>
  <si>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</si>
  <si>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</si>
  <si>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</si>
  <si>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</si>
  <si>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</si>
  <si>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</si>
  <si>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</si>
  <si>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</si>
  <si>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</si>
  <si>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</si>
  <si>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</si>
  <si>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</si>
  <si>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</si>
  <si>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</si>
  <si>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</si>
  <si>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</si>
  <si>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</si>
  <si>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</si>
  <si>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</si>
  <si>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</si>
  <si>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</si>
  <si>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</si>
  <si>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</si>
  <si>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</si>
  <si>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</si>
  <si>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</si>
  <si>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</si>
  <si>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</si>
  <si>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</si>
  <si>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</si>
  <si>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</si>
  <si>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</si>
  <si>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</si>
  <si>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</si>
  <si>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</si>
  <si>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</si>
  <si>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</si>
  <si>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</si>
  <si>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</si>
  <si>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</si>
  <si>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</si>
  <si>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</si>
  <si>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</si>
  <si>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</si>
  <si>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</si>
  <si>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</si>
  <si>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</si>
  <si>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</si>
  <si>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</si>
  <si>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</si>
  <si>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</si>
  <si>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</si>
  <si>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</si>
  <si>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</si>
  <si>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</si>
  <si>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</si>
  <si>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</si>
  <si>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</si>
  <si>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</si>
  <si>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</si>
  <si>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</si>
  <si>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</si>
  <si>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</si>
  <si>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</si>
  <si>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</si>
  <si>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</si>
  <si>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</si>
  <si>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</si>
  <si>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</si>
  <si>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</si>
  <si>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</si>
  <si>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</si>
  <si>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</si>
  <si>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</si>
  <si>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</si>
  <si>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</si>
  <si>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</si>
  <si>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</si>
  <si>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</si>
  <si>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</si>
  <si>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</si>
  <si>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</si>
  <si>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</si>
  <si>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</si>
  <si>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</si>
  <si>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</si>
  <si>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</si>
  <si>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</si>
  <si>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</si>
  <si>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</si>
  <si>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</si>
  <si>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</si>
  <si>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</si>
  <si>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</si>
  <si>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</si>
  <si>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</si>
  <si>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</si>
  <si>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</si>
  <si>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</si>
  <si>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</si>
  <si>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</si>
  <si>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</si>
  <si>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</si>
  <si>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</si>
  <si>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</si>
  <si>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</si>
  <si>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</si>
  <si>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</si>
  <si>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</si>
  <si>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</si>
  <si>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</si>
  <si>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</si>
  <si>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</si>
  <si>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</si>
  <si>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</si>
  <si>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</si>
  <si>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</si>
  <si>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</si>
  <si>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</si>
  <si>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</si>
  <si>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</si>
  <si>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</si>
  <si>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</si>
  <si>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</si>
  <si>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</si>
  <si>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</si>
  <si>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</si>
  <si>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</si>
  <si>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</si>
  <si>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</si>
  <si>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</si>
  <si>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</si>
  <si>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</si>
  <si>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</si>
  <si>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</si>
  <si>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</si>
  <si>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</si>
  <si>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</si>
  <si>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</si>
  <si>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</si>
  <si>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</si>
  <si>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</si>
  <si>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</si>
  <si>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</si>
  <si>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</si>
  <si>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</si>
  <si>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</si>
  <si>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</si>
  <si>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</si>
  <si>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</si>
  <si>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</si>
  <si>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</si>
  <si>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</si>
  <si>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</si>
  <si>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</si>
  <si>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</si>
  <si>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</si>
  <si>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</si>
  <si>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</si>
  <si>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</si>
  <si>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</si>
  <si>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</si>
  <si>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</si>
  <si>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</si>
  <si>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</si>
  <si>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</si>
  <si>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</si>
  <si>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</si>
  <si>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</si>
  <si>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</si>
  <si>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</si>
  <si>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</si>
  <si>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</si>
  <si>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</si>
  <si>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</si>
  <si>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</si>
  <si>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</si>
  <si>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</si>
  <si>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</si>
  <si>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</si>
  <si>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</si>
  <si>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</si>
  <si>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</si>
  <si>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</si>
  <si>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</si>
  <si>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</si>
  <si>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</si>
  <si>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</si>
  <si>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</si>
  <si>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</si>
  <si>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</si>
  <si>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</si>
  <si>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</si>
  <si>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</si>
  <si>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</si>
  <si>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</si>
  <si>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</si>
  <si>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</si>
  <si>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</si>
  <si>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</si>
  <si>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</si>
  <si>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</si>
  <si>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</si>
  <si>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</si>
  <si>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</si>
  <si>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</si>
  <si>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</si>
  <si>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</si>
  <si>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</si>
  <si>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</si>
  <si>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</si>
  <si>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</si>
  <si>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</si>
  <si>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</si>
  <si>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</si>
  <si>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</si>
  <si>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</si>
  <si>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</si>
  <si>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</si>
  <si>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</si>
  <si>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</si>
  <si>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</si>
  <si>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</si>
  <si>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</si>
  <si>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</si>
  <si>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</si>
  <si>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</si>
  <si>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</si>
  <si>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</si>
  <si>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</si>
  <si>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</si>
  <si>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</si>
  <si>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</si>
  <si>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</si>
  <si>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</si>
  <si>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</si>
  <si>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</si>
  <si>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</si>
  <si>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</si>
  <si>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</si>
  <si>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</si>
  <si>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</si>
  <si>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</si>
  <si>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</si>
  <si>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</si>
  <si>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</si>
  <si>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</si>
  <si>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</si>
  <si>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</si>
  <si>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</si>
  <si>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</si>
  <si>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</si>
  <si>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</si>
  <si>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</si>
  <si>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</si>
  <si>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</si>
  <si>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</si>
  <si>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</si>
  <si>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</si>
  <si>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</si>
  <si>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</si>
  <si>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</si>
  <si>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</si>
  <si>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</si>
  <si>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</si>
  <si>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</si>
  <si>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</si>
  <si>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</si>
  <si>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</si>
  <si>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</si>
  <si>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</si>
  <si>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</si>
  <si>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</si>
  <si>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</si>
  <si>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</si>
  <si>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</si>
  <si>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</si>
  <si>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</si>
  <si>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</si>
  <si>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</si>
  <si>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</si>
  <si>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</si>
  <si>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</si>
  <si>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</si>
  <si>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</si>
  <si>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</si>
  <si>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</si>
  <si>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</si>
  <si>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</si>
  <si>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</si>
  <si>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</si>
  <si>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</si>
  <si>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</si>
  <si>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</si>
  <si>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</si>
  <si>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</si>
  <si>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</si>
  <si>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</si>
  <si>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</si>
  <si>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</si>
  <si>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</si>
  <si>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</si>
  <si>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</si>
  <si>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</si>
  <si>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</si>
  <si>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</si>
  <si>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</si>
  <si>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</si>
  <si>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</si>
  <si>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</si>
  <si>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</si>
  <si>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</si>
  <si>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</si>
  <si>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</si>
  <si>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</si>
  <si>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</si>
  <si>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</si>
  <si>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</si>
  <si>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</si>
  <si>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</si>
  <si>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</si>
  <si>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</si>
  <si>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</si>
  <si>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</si>
  <si>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</si>
  <si>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</si>
  <si>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</si>
  <si>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</si>
  <si>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</si>
  <si>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</si>
  <si>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</si>
  <si>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</si>
  <si>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</si>
  <si>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</si>
  <si>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</si>
  <si>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</si>
  <si>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</si>
  <si>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</si>
  <si>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</si>
  <si>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</si>
  <si>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</si>
  <si>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</si>
  <si>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</si>
  <si>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</si>
  <si>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</si>
  <si>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</si>
  <si>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</si>
  <si>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</si>
  <si>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</si>
  <si>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</si>
  <si>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</si>
  <si>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</si>
  <si>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</si>
  <si>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</si>
  <si>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</si>
  <si>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</si>
  <si>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</si>
  <si>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</si>
  <si>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</si>
  <si>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</si>
  <si>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</si>
  <si>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</si>
  <si>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</si>
  <si>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</si>
  <si>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</si>
  <si>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</si>
  <si>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</si>
  <si>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</si>
  <si>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</si>
  <si>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</si>
  <si>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</si>
  <si>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</si>
  <si>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</si>
  <si>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</si>
  <si>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</si>
  <si>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</si>
  <si>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</si>
  <si>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</si>
  <si>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</si>
  <si>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</si>
  <si>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</si>
  <si>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</si>
  <si>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</si>
  <si>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</si>
  <si>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</si>
  <si>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</si>
  <si>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</si>
  <si>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</si>
  <si>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</si>
  <si>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</si>
  <si>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</si>
  <si>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</si>
  <si>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</si>
  <si>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</si>
  <si>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</si>
  <si>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</si>
  <si>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</si>
  <si>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</si>
  <si>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</si>
  <si>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</si>
  <si>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</si>
  <si>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</si>
  <si>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</si>
  <si>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</si>
  <si>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</si>
  <si>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</si>
  <si>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</si>
  <si>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</si>
  <si>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</si>
  <si>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</si>
  <si>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</si>
  <si>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</si>
  <si>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</si>
  <si>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</si>
  <si>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</si>
  <si>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</si>
  <si>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</si>
  <si>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</si>
  <si>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</si>
  <si>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</si>
  <si>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</si>
  <si>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</si>
  <si>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</si>
  <si>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</si>
  <si>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</si>
  <si>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</si>
  <si>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</si>
  <si>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</si>
  <si>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</si>
  <si>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</si>
  <si>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</si>
  <si>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</si>
  <si>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</si>
  <si>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</si>
  <si>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</si>
  <si>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</si>
  <si>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</si>
  <si>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</si>
  <si>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</si>
  <si>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</si>
  <si>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</si>
  <si>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</si>
  <si>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</si>
  <si>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</si>
  <si>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</si>
  <si>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</si>
  <si>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</si>
  <si>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</si>
  <si>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</si>
  <si>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</si>
  <si>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</si>
  <si>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</si>
  <si>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</si>
  <si>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</si>
  <si>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</si>
  <si>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</si>
  <si>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</si>
  <si>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</si>
  <si>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</si>
  <si>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</si>
  <si>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</si>
  <si>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</si>
  <si>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</si>
  <si>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</si>
  <si>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</si>
  <si>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</si>
  <si>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</si>
  <si>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</si>
  <si>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</si>
  <si>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</si>
  <si>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</si>
  <si>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</si>
  <si>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</si>
  <si>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</si>
  <si>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</si>
  <si>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</si>
  <si>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</si>
  <si>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</si>
  <si>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</si>
  <si>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</si>
  <si>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</si>
  <si>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</si>
  <si>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</si>
  <si>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</si>
  <si>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</si>
  <si>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</si>
  <si>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</si>
  <si>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</si>
  <si>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</si>
  <si>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</si>
  <si>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</si>
  <si>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</si>
  <si>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</si>
  <si>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</si>
  <si>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</si>
  <si>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</si>
  <si>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</si>
  <si>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</si>
  <si>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</si>
  <si>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</si>
  <si>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</si>
  <si>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</si>
  <si>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</si>
  <si>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</si>
  <si>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</si>
  <si>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</si>
  <si>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</si>
  <si>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</si>
  <si>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</si>
  <si>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</si>
  <si>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</si>
  <si>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</si>
  <si>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</si>
  <si>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</si>
  <si>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</si>
  <si>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</si>
  <si>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</si>
  <si>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</si>
  <si>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</si>
  <si>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</si>
  <si>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</si>
  <si>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</si>
  <si>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</si>
  <si>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</si>
  <si>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</si>
  <si>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</si>
  <si>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</si>
  <si>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</si>
  <si>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</si>
  <si>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</si>
  <si>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</si>
  <si>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</si>
  <si>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</si>
  <si>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</si>
  <si>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</si>
  <si>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</si>
  <si>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</si>
  <si>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</si>
  <si>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</si>
  <si>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</si>
  <si>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</si>
  <si>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</si>
  <si>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</si>
  <si>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</si>
  <si>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</si>
  <si>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</si>
  <si>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</si>
  <si>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</si>
  <si>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</si>
  <si>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</si>
  <si>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</si>
  <si>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</si>
  <si>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</si>
  <si>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</si>
  <si>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</si>
  <si>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</si>
  <si>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</si>
  <si>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</si>
  <si>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</si>
  <si>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</si>
  <si>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</si>
  <si>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</si>
  <si>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</si>
  <si>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</si>
  <si>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</si>
  <si>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</si>
  <si>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</si>
  <si>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</si>
  <si>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</si>
  <si>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</si>
  <si>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</si>
  <si>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</si>
  <si>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</si>
  <si>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</si>
  <si>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</si>
  <si>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</si>
  <si>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</si>
  <si>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</si>
  <si>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</si>
  <si>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</si>
  <si>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</si>
  <si>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</si>
  <si>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</si>
  <si>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</si>
  <si>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</si>
  <si>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</si>
  <si>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</si>
  <si>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</si>
  <si>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</si>
  <si>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</si>
  <si>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</si>
  <si>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</si>
  <si>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</si>
  <si>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</si>
  <si>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</si>
  <si>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</si>
  <si>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</si>
  <si>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</si>
  <si>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</si>
  <si>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</si>
  <si>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</si>
  <si>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</si>
  <si>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</si>
  <si>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</si>
  <si>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</si>
  <si>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</si>
  <si>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</si>
  <si>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</si>
  <si>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</si>
  <si>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</si>
  <si>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</si>
  <si>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</si>
  <si>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</si>
  <si>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</si>
  <si>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</si>
  <si>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</si>
  <si>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</si>
  <si>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</si>
  <si>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</si>
  <si>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</si>
  <si>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</si>
  <si>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</si>
  <si>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</si>
  <si>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</si>
  <si>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</si>
  <si>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</si>
  <si>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</si>
  <si>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</si>
  <si>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</si>
  <si>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</si>
  <si>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</si>
  <si>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</si>
  <si>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</si>
  <si>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</si>
  <si>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</si>
  <si>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</si>
  <si>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</si>
  <si>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</si>
  <si>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</si>
  <si>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</si>
  <si>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</si>
  <si>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</si>
  <si>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</si>
  <si>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</si>
  <si>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</si>
  <si>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</si>
  <si>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</si>
  <si>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</si>
  <si>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</si>
  <si>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</si>
  <si>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</si>
  <si>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</si>
  <si>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</si>
  <si>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</si>
  <si>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</si>
  <si>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</si>
  <si>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</si>
  <si>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</si>
  <si>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</si>
  <si>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</si>
  <si>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</si>
  <si>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</si>
  <si>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</si>
  <si>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</si>
  <si>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</si>
  <si>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</si>
  <si>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</si>
  <si>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</si>
  <si>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</si>
  <si>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</si>
  <si>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</si>
  <si>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</si>
  <si>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</si>
  <si>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</si>
  <si>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</si>
  <si>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</si>
  <si>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</si>
  <si>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</si>
  <si>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</si>
  <si>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</si>
  <si>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</si>
  <si>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</si>
  <si>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</si>
  <si>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</si>
  <si>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</si>
  <si>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</si>
  <si>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</si>
  <si>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</si>
  <si>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</si>
  <si>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</si>
  <si>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</si>
  <si>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</si>
  <si>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</si>
  <si>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</si>
  <si>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</si>
  <si>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</si>
  <si>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</si>
  <si>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</si>
  <si>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</si>
  <si>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</si>
  <si>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</si>
  <si>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</si>
  <si>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</si>
  <si>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</si>
  <si>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</si>
  <si>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</si>
  <si>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</si>
  <si>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</si>
  <si>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</si>
  <si>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</si>
  <si>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</si>
  <si>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</si>
  <si>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</si>
  <si>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</si>
  <si>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</si>
  <si>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</si>
  <si>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</si>
  <si>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</si>
  <si>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</si>
  <si>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</si>
  <si>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</si>
  <si>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</si>
  <si>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</si>
  <si>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</si>
  <si>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</si>
  <si>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</si>
  <si>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</si>
  <si>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</si>
  <si>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</si>
  <si>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</si>
  <si>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</si>
  <si>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</si>
  <si>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</si>
  <si>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</si>
  <si>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</si>
  <si>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</si>
  <si>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</si>
  <si>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</si>
  <si>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</si>
  <si>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</si>
  <si>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</si>
  <si>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</si>
  <si>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</si>
  <si>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</si>
  <si>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</si>
  <si>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</si>
  <si>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</si>
  <si>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</si>
  <si>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</si>
  <si>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</si>
  <si>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</si>
  <si>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</si>
  <si>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</si>
  <si>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</si>
  <si>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</si>
  <si>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</si>
  <si>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</si>
  <si>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</si>
  <si>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</si>
  <si>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</si>
  <si>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</si>
  <si>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</si>
  <si>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</si>
  <si>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</si>
  <si>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</si>
  <si>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</si>
  <si>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</si>
  <si>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</si>
  <si>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</si>
  <si>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</si>
  <si>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</si>
  <si>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</si>
  <si>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</si>
  <si>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</si>
  <si>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</si>
  <si>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</si>
  <si>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</si>
  <si>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</si>
  <si>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</si>
  <si>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</si>
  <si>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</si>
  <si>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</si>
  <si>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</si>
  <si>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</si>
  <si>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</si>
  <si>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</si>
  <si>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</si>
  <si>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</si>
  <si>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</si>
  <si>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</si>
  <si>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</si>
  <si>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</si>
  <si>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</si>
  <si>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</si>
  <si>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</si>
  <si>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</si>
  <si>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</si>
  <si>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</si>
  <si>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</si>
  <si>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</si>
  <si>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</si>
  <si>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</si>
  <si>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</si>
  <si>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</si>
  <si>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</si>
  <si>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</si>
  <si>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</si>
  <si>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</si>
  <si>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</si>
  <si>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</si>
  <si>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</si>
  <si>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</si>
  <si>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</si>
  <si>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</si>
  <si>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</si>
  <si>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</si>
  <si>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</si>
  <si>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</si>
  <si>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</si>
  <si>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</si>
  <si>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</si>
  <si>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</si>
  <si>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</si>
  <si>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</si>
  <si>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</si>
  <si>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</si>
  <si>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</si>
  <si>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</si>
  <si>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</si>
  <si>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</si>
  <si>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</si>
  <si>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</si>
  <si>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</si>
  <si>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</si>
  <si>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</si>
  <si>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</si>
  <si>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</si>
  <si>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</si>
  <si>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</si>
  <si>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</si>
  <si>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</si>
  <si>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</si>
  <si>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</si>
  <si>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</si>
  <si>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</si>
  <si>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</si>
  <si>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</si>
  <si>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</si>
  <si>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</si>
  <si>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</si>
  <si>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</si>
  <si>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</si>
  <si>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</si>
  <si>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</si>
  <si>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</si>
  <si>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</si>
  <si>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</si>
  <si>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</si>
  <si>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</si>
  <si>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</si>
  <si>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</si>
  <si>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</si>
  <si>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</si>
  <si>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</si>
  <si>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</si>
  <si>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</si>
  <si>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</si>
  <si>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</si>
  <si>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</si>
  <si>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</si>
  <si>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</si>
  <si>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</si>
  <si>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</si>
  <si>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</si>
  <si>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</si>
  <si>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</si>
  <si>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</si>
  <si>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</si>
  <si>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</si>
  <si>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</si>
  <si>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</si>
  <si>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</si>
  <si>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</si>
  <si>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</si>
  <si>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</si>
  <si>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</si>
  <si>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</si>
  <si>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</si>
  <si>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</si>
  <si>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</si>
  <si>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</si>
  <si>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</si>
  <si>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</si>
  <si>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</si>
  <si>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</si>
  <si>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</si>
  <si>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</si>
  <si>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</si>
  <si>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</si>
  <si>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</si>
  <si>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</si>
  <si>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</si>
  <si>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</si>
  <si>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</si>
  <si>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</si>
  <si>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</si>
  <si>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</si>
  <si>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</si>
  <si>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</si>
  <si>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</si>
  <si>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</si>
  <si>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</si>
  <si>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</si>
  <si>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</si>
  <si>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</si>
  <si>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</si>
  <si>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</si>
  <si>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</si>
  <si>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</si>
  <si>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</si>
  <si>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</si>
  <si>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</si>
  <si>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</si>
  <si>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</si>
  <si>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</si>
  <si>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</si>
  <si>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</si>
  <si>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</si>
  <si>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</si>
  <si>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</si>
  <si>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</si>
  <si>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</si>
  <si>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</si>
  <si>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</si>
  <si>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</si>
  <si>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</si>
  <si>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</si>
  <si>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</si>
  <si>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</si>
  <si>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</si>
  <si>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</si>
  <si>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</si>
  <si>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</si>
  <si>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</si>
  <si>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</si>
  <si>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</si>
  <si>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</si>
  <si>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</si>
  <si>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</si>
  <si>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</si>
  <si>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</si>
  <si>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</si>
  <si>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</si>
  <si>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</si>
  <si>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</si>
  <si>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</si>
  <si>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</si>
  <si>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</si>
  <si>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</si>
  <si>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</si>
  <si>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</si>
  <si>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</si>
  <si>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</si>
  <si>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</si>
  <si>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</si>
  <si>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</si>
  <si>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</si>
  <si>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</si>
  <si>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</si>
  <si>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</si>
  <si>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</si>
  <si>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</si>
  <si>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</si>
  <si>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</si>
  <si>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</si>
  <si>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</si>
  <si>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</si>
  <si>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</si>
  <si>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</si>
  <si>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</si>
  <si>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</si>
  <si>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</si>
  <si>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</si>
  <si>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</si>
  <si>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</si>
  <si>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</si>
  <si>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</si>
  <si>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</si>
  <si>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</si>
  <si>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</si>
  <si>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</si>
  <si>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</si>
  <si>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</si>
  <si>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</si>
  <si>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</si>
  <si>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</si>
  <si>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</si>
  <si>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</si>
  <si>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</si>
  <si>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</si>
  <si>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</si>
  <si>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</si>
  <si>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</si>
  <si>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</si>
  <si>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</si>
  <si>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</si>
  <si>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</si>
  <si>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</si>
  <si>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</si>
  <si>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</si>
  <si>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</si>
  <si>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</si>
  <si>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</si>
  <si>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</si>
  <si>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</si>
  <si>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</si>
  <si>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</si>
  <si>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</si>
  <si>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</si>
  <si>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</si>
  <si>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</si>
  <si>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</si>
  <si>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</si>
  <si>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</si>
  <si>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</si>
  <si>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</si>
  <si>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</si>
  <si>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</si>
  <si>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</si>
  <si>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</si>
  <si>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</si>
  <si>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</si>
  <si>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</si>
  <si>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</si>
  <si>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</si>
  <si>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</si>
  <si>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</si>
  <si>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</si>
  <si>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</si>
  <si>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</si>
  <si>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</si>
  <si>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</si>
  <si>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</si>
  <si>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</si>
  <si>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</si>
  <si>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</si>
  <si>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</si>
  <si>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</si>
  <si>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</si>
  <si>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</si>
  <si>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</si>
  <si>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</si>
  <si>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</si>
  <si>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</si>
  <si>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</si>
  <si>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</si>
  <si>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</si>
  <si>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</si>
  <si>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</si>
  <si>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</si>
  <si>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</si>
  <si>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</si>
  <si>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</si>
  <si>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</si>
  <si>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</si>
  <si>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</si>
  <si>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</si>
  <si>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</si>
  <si>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</si>
  <si>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</si>
  <si>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</si>
  <si>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</si>
  <si>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</si>
  <si>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</si>
  <si>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</si>
  <si>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</si>
  <si>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</si>
  <si>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</si>
  <si>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</si>
  <si>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</si>
  <si>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</si>
  <si>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</si>
  <si>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</si>
  <si>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</si>
  <si>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</si>
  <si>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</si>
  <si>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</si>
  <si>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</si>
  <si>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</si>
  <si>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</si>
  <si>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</si>
  <si>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</si>
  <si>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</si>
  <si>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</si>
  <si>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</si>
  <si>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</si>
  <si>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</si>
  <si>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</si>
  <si>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</si>
  <si>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</si>
  <si>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</si>
  <si>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</si>
  <si>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</si>
  <si>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</si>
  <si>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</si>
  <si>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</si>
  <si>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</si>
  <si>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</si>
  <si>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</si>
  <si>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</si>
  <si>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</si>
  <si>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</si>
  <si>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</si>
  <si>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</si>
  <si>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</si>
  <si>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</si>
  <si>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</si>
  <si>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</si>
  <si>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</si>
  <si>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</si>
  <si>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</si>
  <si>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</si>
  <si>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</si>
  <si>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</si>
  <si>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</si>
  <si>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</si>
  <si>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</si>
  <si>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</si>
  <si>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</si>
  <si>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</si>
  <si>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</si>
  <si>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</si>
  <si>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</si>
  <si>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</si>
  <si>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</si>
  <si>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</si>
  <si>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</si>
  <si>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</si>
  <si>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</si>
  <si>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</si>
  <si>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</si>
  <si>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</si>
  <si>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</si>
  <si>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</si>
  <si>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</si>
  <si>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</si>
  <si>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</si>
  <si>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</si>
  <si>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</si>
  <si>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</si>
  <si>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</si>
  <si>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</si>
  <si>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</si>
  <si>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</si>
  <si>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</si>
  <si>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</si>
  <si>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</si>
  <si>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</si>
  <si>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</si>
  <si>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</si>
  <si>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</si>
  <si>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</si>
  <si>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</si>
  <si>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</si>
  <si>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</si>
  <si>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</si>
  <si>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</si>
  <si>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</si>
  <si>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</si>
  <si>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</si>
  <si>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</si>
  <si>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</si>
  <si>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</si>
  <si>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</si>
  <si>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</si>
  <si>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</si>
  <si>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</si>
  <si>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</si>
  <si>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</si>
  <si>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</si>
  <si>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</si>
  <si>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</si>
  <si>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</si>
  <si>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</si>
  <si>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</si>
  <si>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</si>
  <si>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</si>
  <si>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</si>
  <si>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</si>
  <si>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</si>
  <si>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</si>
  <si>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</si>
  <si>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</si>
  <si>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</si>
  <si>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</si>
  <si>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</si>
  <si>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</si>
  <si>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</si>
  <si>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</si>
  <si>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</si>
  <si>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</si>
  <si>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</si>
  <si>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</si>
  <si>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</si>
  <si>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</si>
  <si>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</si>
  <si>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</si>
  <si>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</si>
  <si>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</si>
  <si>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</si>
  <si>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</si>
  <si>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</si>
  <si>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</si>
  <si>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</si>
  <si>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</si>
  <si>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</si>
  <si>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</si>
  <si>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</si>
  <si>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</si>
  <si>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</si>
  <si>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</si>
  <si>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</si>
  <si>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</si>
  <si>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</si>
  <si>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</si>
  <si>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</si>
  <si>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</si>
  <si>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</si>
  <si>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</si>
  <si>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</si>
  <si>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</si>
  <si>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</si>
  <si>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</si>
  <si>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</si>
  <si>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</si>
  <si>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</si>
  <si>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</si>
  <si>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</si>
  <si>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</si>
  <si>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</si>
  <si>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</si>
  <si>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</si>
  <si>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</si>
  <si>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</si>
  <si>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</si>
  <si>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</si>
  <si>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</si>
  <si>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</si>
  <si>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</si>
  <si>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</si>
  <si>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</si>
  <si>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</si>
  <si>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</si>
  <si>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</si>
  <si>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</si>
  <si>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</si>
  <si>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</si>
  <si>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</si>
  <si>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</si>
  <si>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</si>
  <si>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</si>
  <si>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</si>
  <si>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</si>
  <si>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</si>
  <si>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</si>
  <si>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</si>
  <si>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</si>
  <si>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</si>
  <si>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</si>
  <si>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</si>
  <si>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</si>
  <si>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</si>
  <si>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</si>
  <si>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</si>
  <si>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</si>
  <si>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</si>
  <si>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</si>
  <si>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</si>
  <si>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</si>
  <si>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</si>
  <si>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</si>
  <si>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</si>
  <si>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</si>
  <si>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</si>
  <si>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</si>
  <si>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</si>
  <si>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</si>
  <si>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</si>
  <si>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</si>
  <si>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</si>
  <si>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</si>
  <si>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</si>
  <si>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</si>
  <si>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</si>
  <si>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</si>
  <si>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</si>
  <si>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</si>
  <si>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</si>
  <si>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</si>
  <si>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</si>
  <si>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</si>
  <si>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</si>
  <si>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</si>
  <si>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</si>
  <si>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</si>
  <si>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</si>
  <si>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</si>
  <si>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</si>
  <si>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</si>
  <si>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</si>
  <si>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</si>
  <si>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</si>
  <si>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</si>
  <si>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</si>
  <si>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</si>
  <si>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</si>
  <si>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</si>
  <si>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</si>
  <si>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</si>
  <si>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</si>
  <si>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</si>
  <si>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</si>
  <si>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</si>
  <si>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</si>
  <si>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</si>
  <si>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</si>
  <si>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</si>
  <si>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</si>
  <si>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</si>
  <si>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</si>
  <si>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</si>
  <si>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</si>
  <si>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</si>
  <si>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</si>
  <si>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</si>
  <si>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</si>
  <si>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</si>
  <si>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</si>
  <si>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</si>
  <si>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</si>
  <si>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</si>
  <si>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</si>
  <si>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</si>
  <si>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</si>
  <si>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</si>
  <si>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</si>
  <si>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</si>
  <si>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</si>
  <si>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</si>
  <si>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</si>
  <si>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</si>
  <si>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</si>
  <si>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</si>
  <si>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</si>
  <si>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</si>
  <si>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</si>
  <si>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</si>
  <si>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</si>
  <si>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</si>
  <si>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</si>
  <si>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</si>
  <si>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</si>
  <si>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</si>
  <si>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</si>
  <si>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</si>
  <si>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</si>
  <si>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</si>
  <si>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</si>
  <si>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</si>
  <si>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</si>
  <si>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</si>
  <si>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</si>
  <si>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</si>
  <si>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</si>
  <si>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</si>
  <si>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</si>
  <si>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</si>
  <si>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</si>
  <si>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</si>
  <si>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</si>
  <si>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</si>
  <si>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</si>
  <si>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</si>
  <si>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</si>
  <si>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</si>
  <si>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</si>
  <si>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</si>
  <si>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</si>
  <si>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</si>
  <si>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</si>
  <si>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</si>
  <si>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</si>
  <si>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</si>
  <si>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</si>
  <si>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</si>
  <si>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</si>
  <si>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</si>
  <si>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</si>
  <si>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</si>
  <si>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</si>
  <si>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</si>
  <si>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</si>
  <si>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</si>
  <si>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</si>
  <si>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</si>
  <si>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</si>
  <si>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</si>
  <si>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</si>
  <si>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</si>
  <si>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</si>
  <si>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</si>
  <si>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</si>
  <si>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</si>
  <si>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</si>
  <si>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</si>
  <si>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</si>
  <si>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</si>
  <si>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</si>
  <si>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</si>
  <si>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</si>
  <si>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</si>
  <si>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</si>
  <si>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</si>
  <si>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</si>
  <si>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</si>
  <si>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</si>
  <si>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</si>
  <si>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</si>
  <si>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</si>
  <si>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</si>
  <si>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</si>
  <si>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</si>
  <si>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</si>
  <si>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</si>
  <si>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</si>
  <si>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</si>
  <si>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</si>
  <si>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</si>
  <si>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</si>
  <si>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</si>
  <si>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</si>
  <si>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</si>
  <si>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</si>
  <si>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</si>
  <si>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</si>
  <si>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</si>
  <si>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</si>
  <si>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</si>
  <si>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</si>
  <si>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</si>
  <si>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</si>
  <si>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</si>
  <si>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</si>
  <si>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</si>
  <si>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</si>
  <si>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</si>
  <si>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</si>
  <si>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</si>
  <si>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</si>
  <si>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</si>
  <si>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</si>
  <si>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</si>
  <si>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</si>
  <si>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</si>
  <si>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</si>
  <si>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</si>
  <si>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</si>
  <si>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</si>
  <si>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</si>
  <si>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</si>
  <si>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</si>
  <si>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</si>
  <si>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</si>
  <si>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</si>
  <si>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</si>
  <si>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</si>
  <si>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</si>
  <si>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</si>
  <si>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</si>
  <si>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</si>
  <si>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</si>
  <si>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</si>
  <si>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</si>
  <si>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</si>
  <si>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</si>
  <si>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</si>
  <si>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</si>
  <si>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</si>
  <si>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</si>
  <si>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</si>
  <si>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</si>
  <si>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</si>
  <si>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</si>
  <si>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</si>
  <si>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</si>
  <si>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</si>
  <si>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</si>
  <si>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</si>
  <si>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</si>
  <si>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</si>
  <si>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</si>
  <si>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</si>
  <si>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</si>
  <si>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</si>
  <si>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</si>
  <si>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</si>
  <si>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</si>
  <si>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</si>
  <si>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</si>
  <si>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</si>
  <si>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</si>
  <si>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</si>
  <si>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</si>
  <si>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</si>
  <si>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</si>
  <si>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</si>
  <si>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</si>
  <si>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</si>
  <si>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</si>
  <si>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</si>
  <si>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</si>
  <si>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</si>
  <si>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</si>
  <si>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</si>
  <si>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</si>
  <si>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</si>
  <si>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</si>
  <si>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</si>
  <si>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</si>
  <si>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</si>
  <si>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</si>
  <si>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</si>
  <si>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</si>
  <si>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</si>
  <si>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</si>
  <si>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</si>
  <si>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</si>
  <si>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</si>
  <si>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</si>
  <si>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</si>
  <si>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</si>
  <si>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</si>
  <si>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</si>
  <si>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</si>
  <si>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</si>
  <si>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</si>
  <si>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</si>
  <si>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</si>
  <si>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</si>
  <si>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</si>
  <si>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</si>
  <si>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</si>
  <si>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</si>
  <si>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</si>
  <si>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</si>
  <si>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</si>
  <si>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</si>
  <si>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</si>
  <si>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</si>
  <si>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</si>
  <si>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</si>
  <si>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</si>
  <si>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</si>
  <si>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</si>
  <si>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</si>
  <si>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</si>
  <si>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</si>
  <si>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</si>
  <si>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</si>
  <si>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</si>
  <si>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</si>
  <si>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</si>
  <si>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</si>
  <si>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</si>
  <si>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</si>
  <si>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</si>
  <si>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</si>
  <si>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</si>
  <si>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</si>
  <si>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</si>
  <si>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</si>
  <si>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</si>
  <si>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</si>
  <si>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</si>
  <si>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</si>
  <si>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</si>
  <si>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</si>
  <si>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</si>
  <si>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</si>
  <si>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</si>
  <si>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</si>
  <si>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</si>
  <si>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</si>
  <si>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</si>
  <si>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</si>
  <si>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</si>
  <si>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</si>
  <si>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</si>
  <si>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</si>
  <si>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</si>
  <si>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</si>
  <si>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</si>
  <si>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</si>
  <si>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</si>
  <si>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</si>
  <si>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</si>
  <si>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</si>
  <si>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</si>
  <si>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</si>
  <si>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</si>
  <si>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</si>
  <si>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</si>
  <si>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</si>
  <si>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</si>
  <si>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</si>
  <si>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</si>
  <si>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</si>
  <si>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</si>
  <si>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</si>
  <si>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</si>
  <si>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</si>
  <si>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</si>
  <si>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</si>
  <si>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</si>
  <si>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</si>
  <si>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</si>
  <si>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</si>
  <si>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</si>
  <si>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</si>
  <si>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</si>
  <si>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</si>
  <si>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</si>
  <si>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</si>
  <si>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</si>
  <si>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</si>
  <si>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</si>
  <si>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</si>
  <si>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</si>
  <si>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</si>
  <si>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</si>
  <si>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</si>
  <si>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</si>
  <si>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</si>
  <si>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</si>
  <si>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</si>
  <si>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</si>
  <si>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</si>
  <si>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</si>
  <si>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</si>
  <si>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</si>
  <si>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</si>
  <si>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</si>
  <si>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</si>
  <si>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</si>
  <si>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</si>
  <si>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</si>
  <si>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</si>
  <si>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</si>
  <si>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</si>
  <si>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</si>
  <si>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</si>
  <si>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</si>
  <si>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</si>
  <si>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</si>
  <si>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</si>
  <si>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</si>
  <si>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</si>
  <si>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</si>
  <si>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</si>
  <si>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</si>
  <si>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</si>
  <si>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</si>
  <si>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</si>
  <si>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</si>
  <si>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</si>
  <si>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</si>
  <si>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</si>
  <si>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</si>
  <si>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</si>
  <si>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</si>
  <si>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</si>
  <si>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</si>
  <si>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</si>
  <si>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</si>
  <si>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</si>
  <si>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</si>
  <si>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</si>
  <si>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</si>
  <si>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</si>
  <si>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</si>
  <si>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</si>
  <si>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</si>
  <si>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</si>
  <si>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</si>
  <si>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</si>
  <si>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</si>
  <si>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</si>
  <si>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</si>
  <si>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</si>
  <si>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</si>
  <si>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</si>
  <si>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</si>
  <si>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</si>
  <si>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</si>
  <si>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</si>
  <si>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</si>
  <si>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</si>
  <si>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</si>
  <si>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</si>
  <si>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</si>
  <si>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</si>
  <si>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</si>
  <si>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</si>
  <si>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</si>
  <si>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</si>
  <si>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</si>
  <si>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</si>
  <si>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</si>
  <si>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</si>
  <si>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</si>
  <si>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</si>
  <si>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</si>
  <si>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</si>
  <si>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</si>
  <si>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</si>
  <si>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</si>
  <si>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</si>
  <si>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</si>
  <si>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</si>
  <si>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</si>
  <si>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</si>
  <si>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</si>
  <si>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</si>
  <si>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</si>
  <si>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</si>
  <si>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</si>
  <si>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</si>
  <si>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</si>
  <si>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</si>
  <si>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</si>
  <si>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</si>
  <si>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</si>
  <si>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</si>
  <si>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</si>
  <si>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</si>
  <si>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</si>
  <si>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</si>
  <si>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</si>
  <si>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</si>
  <si>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</si>
  <si>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</si>
  <si>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</si>
  <si>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</si>
  <si>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</si>
  <si>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</si>
  <si>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</si>
  <si>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</si>
  <si>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</si>
  <si>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</si>
  <si>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</si>
  <si>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</si>
  <si>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</si>
  <si>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</si>
  <si>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</si>
  <si>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</si>
  <si>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</si>
  <si>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</si>
  <si>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</si>
  <si>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</si>
  <si>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</si>
  <si>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</si>
  <si>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</si>
  <si>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</si>
  <si>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</si>
  <si>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</si>
  <si>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</si>
  <si>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</si>
  <si>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</si>
  <si>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</si>
  <si>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</si>
  <si>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</si>
  <si>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</si>
  <si>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</si>
  <si>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</si>
  <si>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</si>
  <si>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</si>
  <si>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</si>
  <si>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</si>
  <si>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</si>
  <si>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</si>
  <si>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</si>
  <si>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</si>
  <si>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</si>
  <si>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</si>
  <si>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</si>
  <si>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</si>
  <si>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</si>
  <si>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</si>
  <si>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</si>
  <si>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</si>
  <si>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</si>
  <si>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</si>
  <si>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</si>
  <si>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</si>
  <si>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</si>
  <si>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</si>
  <si>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</si>
  <si>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</si>
  <si>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</si>
  <si>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</si>
  <si>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</si>
  <si>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</si>
  <si>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</si>
  <si>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</si>
  <si>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</si>
  <si>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</si>
  <si>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</si>
  <si>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</si>
  <si>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</si>
  <si>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</si>
  <si>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</si>
  <si>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</si>
  <si>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</si>
  <si>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</si>
  <si>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</si>
  <si>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</si>
  <si>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</si>
  <si>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</si>
  <si>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</si>
  <si>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</si>
  <si>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</si>
  <si>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</si>
  <si>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</si>
  <si>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</si>
  <si>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</si>
  <si>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</si>
  <si>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</si>
  <si>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</si>
  <si>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</si>
  <si>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</si>
  <si>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</si>
  <si>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</si>
  <si>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</si>
  <si>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</si>
  <si>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</si>
  <si>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</si>
  <si>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</si>
  <si>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</si>
  <si>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</si>
  <si>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</si>
  <si>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</si>
  <si>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</si>
  <si>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</si>
  <si>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</si>
  <si>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</si>
  <si>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</si>
  <si>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</si>
  <si>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</si>
  <si>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</si>
  <si>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</si>
  <si>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</si>
  <si>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</si>
  <si>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</si>
  <si>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</si>
  <si>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</si>
  <si>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</si>
  <si>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</si>
  <si>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</si>
  <si>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</si>
  <si>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</si>
  <si>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</si>
  <si>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</si>
  <si>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</si>
  <si>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</si>
  <si>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</si>
  <si>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</si>
  <si>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</si>
  <si>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</si>
  <si>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</si>
  <si>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</si>
  <si>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</si>
  <si>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</si>
  <si>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</si>
  <si>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</si>
  <si>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</si>
  <si>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</si>
  <si>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</si>
  <si>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</si>
  <si>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</si>
  <si>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</si>
  <si>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</si>
  <si>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</si>
  <si>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</si>
  <si>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</si>
  <si>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</si>
  <si>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</si>
  <si>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</si>
  <si>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</si>
  <si>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</si>
  <si>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</si>
  <si>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</si>
  <si>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</si>
  <si>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</si>
  <si>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</si>
  <si>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</si>
  <si>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</si>
  <si>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</si>
  <si>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</si>
  <si>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</si>
  <si>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</si>
  <si>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</si>
  <si>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</si>
  <si>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</si>
  <si>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</si>
  <si>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</si>
  <si>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</si>
  <si>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</si>
  <si>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</si>
  <si>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</si>
  <si>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</si>
  <si>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</si>
  <si>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</si>
  <si>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</si>
  <si>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</si>
  <si>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</si>
  <si>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</si>
  <si>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</si>
  <si>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</si>
  <si>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</si>
  <si>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</si>
  <si>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</si>
  <si>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</si>
  <si>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</si>
  <si>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</si>
  <si>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</si>
  <si>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</si>
  <si>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</si>
  <si>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</si>
  <si>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</si>
  <si>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</si>
  <si>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</si>
  <si>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</si>
  <si>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</si>
  <si>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</si>
  <si>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</si>
  <si>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</si>
  <si>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</si>
  <si>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</si>
  <si>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</si>
  <si>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</si>
  <si>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</si>
  <si>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</si>
  <si>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</si>
  <si>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</si>
  <si>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</si>
  <si>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</si>
  <si>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</si>
  <si>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</si>
  <si>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</si>
  <si>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</si>
  <si>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</si>
  <si>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</si>
  <si>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</si>
  <si>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</si>
  <si>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</si>
  <si>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</si>
  <si>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</si>
  <si>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</si>
  <si>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</si>
  <si>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</si>
  <si>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</si>
  <si>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</si>
  <si>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</si>
  <si>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</si>
  <si>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</si>
  <si>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</si>
  <si>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</si>
  <si>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</si>
  <si>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</si>
  <si>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</si>
  <si>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</si>
  <si>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</si>
  <si>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</si>
  <si>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</si>
  <si>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</si>
  <si>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</si>
  <si>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</si>
  <si>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</si>
  <si>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</si>
  <si>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</si>
  <si>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</si>
  <si>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</si>
  <si>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</si>
  <si>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</si>
  <si>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</si>
  <si>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</si>
  <si>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</si>
  <si>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</si>
  <si>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</si>
  <si>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</si>
  <si>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</si>
  <si>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</si>
  <si>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</si>
  <si>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</si>
  <si>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</si>
  <si>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</si>
  <si>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</si>
  <si>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</si>
  <si>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</si>
  <si>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</si>
  <si>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</si>
  <si>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</si>
  <si>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</si>
  <si>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</si>
  <si>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</si>
  <si>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</si>
  <si>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</si>
  <si>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</si>
  <si>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</si>
  <si>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</si>
  <si>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</si>
  <si>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</si>
  <si>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</si>
  <si>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</si>
  <si>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</si>
  <si>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</si>
  <si>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</si>
  <si>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</si>
  <si>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</si>
  <si>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</si>
  <si>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</si>
  <si>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</si>
  <si>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</si>
  <si>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</si>
  <si>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</si>
  <si>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</si>
  <si>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</si>
  <si>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</si>
  <si>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</si>
  <si>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</si>
  <si>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</si>
  <si>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</si>
  <si>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</si>
  <si>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</si>
  <si>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</si>
  <si>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</si>
  <si>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</si>
  <si>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</si>
  <si>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</si>
  <si>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</si>
  <si>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</si>
  <si>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</si>
  <si>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</si>
  <si>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</si>
  <si>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</si>
  <si>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</si>
  <si>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</si>
  <si>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</si>
  <si>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</si>
  <si>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</si>
  <si>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</si>
  <si>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</si>
  <si>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</si>
  <si>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</si>
  <si>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</si>
  <si>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</si>
  <si>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</si>
  <si>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</si>
  <si>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</si>
  <si>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</si>
  <si>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</si>
  <si>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</si>
  <si>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</si>
  <si>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</si>
  <si>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</si>
  <si>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</si>
  <si>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</si>
  <si>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</si>
  <si>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</si>
  <si>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</si>
  <si>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</si>
  <si>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</si>
  <si>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</si>
  <si>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</si>
  <si>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</si>
  <si>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</si>
  <si>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</si>
  <si>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</si>
  <si>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</si>
  <si>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</si>
  <si>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</si>
  <si>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</si>
  <si>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</si>
  <si>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</si>
  <si>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</si>
  <si>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</si>
  <si>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</si>
  <si>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</si>
  <si>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</si>
  <si>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</si>
  <si>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</si>
  <si>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</si>
  <si>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</si>
  <si>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</si>
  <si>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</si>
  <si>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</si>
  <si>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</si>
  <si>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</si>
  <si>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</si>
  <si>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</si>
  <si>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</si>
  <si>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</si>
  <si>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</si>
  <si>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</si>
  <si>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</si>
  <si>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</si>
  <si>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</si>
  <si>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</si>
  <si>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</si>
  <si>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</si>
  <si>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</si>
  <si>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</si>
  <si>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</si>
  <si>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</si>
  <si>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</si>
  <si>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</si>
  <si>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</si>
  <si>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</si>
  <si>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</si>
  <si>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</si>
  <si>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</si>
  <si>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</si>
  <si>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</si>
  <si>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</si>
  <si>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</si>
  <si>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</si>
  <si>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</si>
  <si>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</si>
  <si>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</si>
  <si>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</si>
  <si>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</si>
  <si>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</si>
  <si>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</si>
  <si>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</si>
  <si>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</si>
  <si>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</si>
  <si>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</si>
  <si>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</si>
  <si>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</si>
  <si>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</si>
  <si>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</si>
  <si>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</si>
  <si>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</si>
  <si>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</si>
  <si>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</si>
  <si>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</si>
  <si>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</si>
  <si>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</si>
  <si>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</si>
  <si>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</si>
  <si>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</si>
  <si>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</si>
  <si>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</si>
  <si>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</si>
  <si>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</si>
  <si>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</si>
  <si>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</si>
  <si>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</si>
  <si>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</si>
  <si>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</si>
  <si>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</si>
  <si>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</si>
  <si>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</si>
  <si>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</si>
  <si>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</si>
  <si>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</si>
  <si>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</si>
  <si>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</si>
  <si>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</si>
  <si>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</si>
  <si>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</si>
  <si>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</si>
  <si>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</si>
  <si>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</si>
  <si>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</si>
  <si>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</si>
  <si>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</si>
  <si>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</si>
  <si>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</si>
  <si>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</si>
  <si>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</si>
  <si>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</si>
  <si>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</si>
  <si>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</si>
  <si>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</si>
  <si>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</si>
  <si>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</si>
  <si>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</si>
  <si>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</si>
  <si>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</si>
  <si>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</si>
  <si>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</si>
  <si>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</si>
  <si>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</si>
  <si>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</si>
  <si>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</si>
  <si>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</si>
  <si>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</si>
  <si>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</si>
  <si>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</si>
  <si>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</si>
  <si>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</si>
  <si>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</si>
  <si>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</si>
  <si>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</si>
  <si>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</si>
  <si>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</si>
  <si>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</si>
  <si>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</si>
  <si>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</si>
  <si>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</si>
  <si>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</si>
  <si>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</si>
  <si>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</si>
  <si>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</si>
  <si>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</si>
  <si>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</si>
  <si>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</si>
  <si>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</si>
  <si>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</si>
  <si>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</si>
  <si>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</si>
  <si>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</si>
  <si>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</si>
  <si>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</si>
  <si>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</si>
  <si>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</si>
  <si>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</si>
  <si>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</si>
  <si>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</si>
  <si>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</si>
  <si>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</si>
  <si>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</si>
  <si>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</si>
  <si>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</si>
  <si>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</si>
  <si>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</si>
  <si>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</si>
  <si>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</si>
  <si>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</si>
  <si>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</si>
  <si>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</si>
  <si>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</si>
  <si>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</si>
  <si>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</si>
  <si>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</si>
  <si>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</si>
  <si>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</si>
  <si>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</si>
  <si>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</si>
  <si>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</si>
  <si>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</si>
  <si>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</si>
  <si>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</si>
  <si>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</si>
  <si>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</si>
  <si>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</si>
  <si>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</si>
  <si>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</si>
  <si>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</si>
  <si>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</si>
  <si>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</si>
  <si>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</si>
  <si>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</si>
  <si>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</si>
  <si>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</si>
  <si>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</si>
  <si>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</si>
  <si>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</si>
  <si>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</si>
  <si>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</si>
  <si>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</si>
  <si>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</si>
  <si>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</si>
  <si>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</si>
  <si>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</si>
  <si>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</si>
  <si>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</si>
  <si>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</si>
  <si>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</si>
  <si>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</si>
  <si>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</si>
  <si>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</si>
  <si>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</si>
  <si>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</si>
  <si>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</si>
  <si>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</si>
  <si>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</si>
  <si>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</si>
  <si>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</si>
  <si>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</si>
  <si>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</si>
  <si>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</si>
  <si>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</si>
  <si>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</si>
  <si>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</si>
  <si>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</si>
  <si>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</si>
  <si>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</si>
  <si>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</si>
  <si>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</si>
  <si>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</si>
  <si>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</si>
  <si>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</si>
  <si>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</si>
  <si>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</si>
  <si>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</si>
  <si>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</si>
  <si>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</si>
  <si>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</si>
  <si>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</si>
  <si>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</si>
  <si>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</si>
  <si>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</si>
  <si>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</si>
  <si>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</si>
  <si>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</si>
  <si>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</si>
  <si>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</si>
  <si>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</si>
  <si>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</si>
  <si>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</si>
  <si>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</si>
  <si>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</si>
  <si>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</si>
  <si>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</si>
  <si>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</si>
  <si>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</si>
  <si>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</si>
  <si>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</si>
  <si>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</si>
  <si>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</si>
  <si>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</si>
  <si>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</si>
  <si>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</si>
  <si>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</si>
  <si>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</si>
  <si>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</si>
  <si>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</si>
  <si>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</si>
  <si>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</si>
  <si>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</si>
  <si>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</si>
  <si>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</si>
  <si>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</si>
  <si>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</si>
  <si>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</si>
  <si>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</si>
  <si>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</si>
  <si>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</si>
  <si>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</si>
  <si>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</si>
  <si>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</si>
  <si>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</si>
  <si>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</si>
  <si>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</si>
  <si>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</si>
  <si>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</si>
  <si>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</si>
  <si>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</si>
  <si>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</si>
  <si>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</si>
  <si>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</si>
  <si>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</si>
  <si>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</si>
  <si>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</si>
  <si>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</si>
  <si>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</si>
  <si>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</si>
  <si>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</si>
  <si>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</si>
  <si>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</si>
  <si>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</si>
  <si>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</si>
  <si>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</si>
  <si>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</si>
  <si>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</si>
  <si>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</si>
  <si>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</si>
  <si>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</si>
  <si>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</si>
  <si>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</si>
  <si>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</si>
  <si>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</si>
  <si>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</si>
  <si>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</si>
  <si>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</si>
  <si>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</si>
  <si>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</si>
  <si>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</si>
  <si>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</si>
  <si>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</si>
  <si>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</si>
  <si>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</si>
  <si>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</si>
  <si>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</si>
  <si>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</si>
  <si>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</si>
  <si>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</si>
  <si>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</si>
  <si>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</si>
  <si>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</si>
  <si>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</si>
  <si>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</si>
  <si>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</si>
  <si>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</si>
  <si>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</si>
  <si>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</si>
  <si>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</si>
  <si>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</si>
  <si>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</si>
  <si>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</si>
  <si>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</si>
  <si>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</si>
  <si>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</si>
  <si>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</si>
  <si>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</si>
  <si>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</si>
  <si>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</si>
  <si>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</si>
  <si>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</si>
  <si>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</si>
  <si>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</si>
  <si>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</si>
  <si>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</si>
  <si>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</si>
  <si>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</si>
  <si>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</si>
  <si>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</si>
  <si>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</si>
  <si>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</si>
  <si>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</si>
  <si>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</si>
  <si>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</si>
  <si>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</si>
  <si>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</si>
  <si>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</si>
  <si>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</si>
  <si>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</si>
  <si>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</si>
  <si>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</si>
  <si>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</si>
  <si>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</si>
  <si>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</si>
  <si>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</si>
  <si>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</si>
  <si>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</si>
  <si>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</si>
  <si>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</si>
  <si>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</si>
  <si>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</si>
  <si>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</si>
  <si>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</si>
  <si>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</si>
  <si>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</si>
  <si>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</si>
  <si>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</si>
  <si>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</si>
  <si>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</si>
  <si>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</si>
  <si>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</si>
  <si>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</si>
  <si>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</si>
  <si>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</si>
  <si>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</si>
  <si>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</si>
  <si>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</si>
  <si>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</si>
  <si>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</si>
  <si>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</si>
  <si>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</si>
  <si>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</si>
  <si>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</si>
  <si>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</si>
  <si>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</si>
  <si>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</si>
  <si>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</si>
  <si>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</si>
  <si>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</si>
  <si>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</si>
  <si>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</si>
  <si>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</si>
  <si>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</si>
  <si>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</si>
  <si>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</si>
  <si>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</si>
  <si>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</si>
  <si>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</si>
  <si>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</si>
  <si>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</si>
  <si>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</si>
  <si>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</si>
  <si>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</si>
  <si>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</si>
  <si>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</si>
  <si>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</si>
  <si>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</si>
  <si>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</si>
  <si>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</si>
  <si>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</si>
  <si>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</si>
  <si>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</si>
  <si>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</si>
  <si>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</si>
  <si>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</si>
  <si>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</si>
  <si>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</si>
  <si>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</si>
  <si>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</si>
  <si>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</si>
  <si>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</si>
  <si>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</si>
  <si>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</si>
  <si>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</si>
  <si>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</si>
  <si>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</si>
  <si>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</si>
  <si>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</si>
  <si>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</si>
  <si>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</si>
  <si>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</si>
  <si>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</si>
  <si>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</si>
  <si>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</si>
  <si>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</si>
  <si>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</si>
  <si>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</si>
  <si>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</si>
  <si>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</si>
  <si>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</si>
  <si>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</si>
  <si>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</si>
  <si>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</si>
  <si>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</si>
  <si>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</si>
  <si>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</si>
  <si>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</si>
  <si>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</si>
  <si>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</si>
  <si>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</si>
  <si>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</si>
  <si>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</si>
  <si>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</si>
  <si>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</si>
  <si>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</si>
  <si>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</si>
  <si>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</si>
  <si>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</si>
  <si>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</si>
  <si>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</si>
  <si>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</si>
  <si>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</si>
  <si>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</si>
  <si>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</si>
  <si>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</si>
  <si>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</si>
  <si>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</si>
  <si>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</si>
  <si>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</si>
  <si>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</si>
  <si>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</si>
  <si>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</si>
  <si>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</si>
  <si>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</si>
  <si>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</si>
  <si>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</si>
  <si>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</si>
  <si>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</si>
  <si>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</si>
  <si>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</si>
  <si>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</si>
  <si>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</si>
  <si>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</si>
  <si>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</si>
  <si>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</si>
  <si>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</si>
  <si>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</si>
  <si>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</si>
  <si>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</si>
  <si>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</si>
  <si>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</si>
  <si>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</si>
  <si>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</si>
  <si>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</si>
  <si>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</si>
  <si>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</si>
  <si>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</si>
  <si>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</si>
  <si>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</si>
  <si>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</si>
  <si>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</si>
  <si>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</si>
  <si>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</si>
  <si>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</si>
  <si>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</si>
  <si>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</si>
  <si>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</si>
  <si>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</si>
  <si>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</si>
  <si>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</si>
  <si>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</si>
  <si>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</si>
  <si>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</si>
  <si>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</si>
  <si>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</si>
  <si>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</si>
  <si>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</si>
  <si>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</si>
  <si>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</si>
  <si>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</si>
  <si>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</si>
  <si>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</si>
  <si>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</si>
  <si>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</si>
  <si>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</si>
  <si>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</si>
  <si>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</si>
  <si>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</si>
  <si>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</si>
  <si>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</si>
  <si>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</si>
  <si>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</si>
  <si>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</si>
  <si>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</si>
  <si>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</si>
  <si>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</si>
  <si>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</si>
  <si>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</si>
  <si>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</si>
  <si>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</si>
  <si>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</si>
  <si>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</si>
  <si>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</si>
  <si>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</si>
  <si>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</si>
  <si>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</si>
  <si>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</si>
  <si>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</si>
  <si>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</si>
  <si>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</si>
  <si>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</si>
  <si>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</si>
  <si>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</si>
  <si>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</si>
  <si>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</si>
  <si>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</si>
  <si>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</si>
  <si>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</si>
  <si>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</si>
  <si>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</si>
  <si>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</si>
  <si>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</si>
  <si>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</si>
  <si>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</si>
  <si>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</si>
  <si>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</si>
  <si>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</si>
  <si>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</si>
  <si>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</si>
  <si>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</si>
  <si>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</si>
  <si>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</si>
  <si>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</si>
  <si>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</si>
  <si>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</si>
  <si>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</si>
  <si>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</si>
  <si>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</si>
  <si>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</si>
  <si>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</si>
  <si>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</si>
  <si>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</si>
  <si>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</si>
  <si>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</si>
  <si>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</si>
  <si>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</si>
  <si>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</si>
  <si>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</si>
  <si>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</si>
  <si>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</si>
  <si>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</si>
  <si>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</si>
  <si>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</si>
  <si>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</si>
  <si>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</si>
  <si>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</si>
  <si>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</si>
  <si>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</si>
  <si>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</si>
  <si>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</si>
  <si>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</si>
  <si>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</si>
  <si>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</si>
  <si>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</si>
  <si>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</si>
  <si>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</si>
  <si>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</si>
  <si>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</si>
  <si>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</si>
  <si>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</si>
  <si>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</si>
  <si>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</si>
  <si>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</si>
  <si>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</si>
  <si>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</si>
  <si>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</si>
  <si>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</si>
  <si>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</si>
  <si>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</si>
  <si>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</si>
  <si>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</si>
  <si>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</si>
  <si>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</si>
  <si>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</si>
  <si>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</si>
  <si>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</si>
  <si>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</si>
  <si>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</si>
  <si>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</si>
  <si>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</si>
  <si>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</si>
  <si>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</si>
  <si>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</si>
  <si>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</si>
  <si>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</si>
  <si>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</si>
  <si>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</si>
  <si>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</si>
  <si>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</si>
  <si>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</si>
  <si>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</si>
  <si>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</si>
  <si>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</si>
  <si>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</si>
  <si>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</si>
  <si>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</si>
  <si>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</si>
  <si>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</si>
  <si>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</si>
  <si>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</si>
  <si>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</si>
  <si>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</si>
  <si>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</si>
  <si>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</si>
  <si>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</si>
  <si>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</si>
  <si>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</si>
  <si>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</si>
  <si>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</si>
  <si>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</si>
  <si>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</si>
  <si>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</si>
  <si>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</si>
  <si>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</si>
  <si>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</si>
  <si>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</si>
  <si>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</si>
  <si>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</si>
  <si>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</si>
  <si>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</si>
  <si>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</si>
  <si>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</si>
  <si>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</si>
  <si>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</si>
  <si>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</si>
  <si>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</si>
  <si>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</si>
  <si>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</si>
  <si>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</si>
  <si>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</si>
  <si>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</si>
  <si>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</si>
  <si>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</si>
  <si>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</si>
  <si>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</si>
  <si>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</si>
  <si>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</si>
  <si>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</si>
  <si>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</si>
  <si>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</si>
  <si>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</si>
  <si>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</si>
  <si>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</si>
  <si>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</si>
  <si>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</si>
  <si>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</si>
  <si>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</si>
  <si>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</si>
  <si>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</si>
  <si>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</si>
  <si>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</si>
  <si>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</si>
  <si>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</si>
  <si>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</si>
  <si>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</si>
  <si>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</si>
  <si>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</si>
  <si>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</si>
  <si>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</si>
  <si>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</si>
  <si>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</si>
  <si>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</si>
  <si>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</si>
  <si>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</si>
  <si>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</si>
  <si>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</si>
  <si>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</si>
  <si>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</si>
  <si>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</si>
  <si>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</si>
  <si>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</si>
  <si>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</si>
  <si>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</si>
  <si>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</si>
  <si>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</si>
  <si>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</si>
  <si>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</si>
  <si>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</si>
  <si>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</si>
  <si>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</si>
  <si>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</si>
  <si>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</si>
  <si>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</si>
  <si>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</si>
  <si>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</si>
  <si>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</si>
  <si>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</si>
  <si>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</si>
  <si>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</si>
  <si>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</si>
  <si>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</si>
  <si>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</si>
  <si>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</si>
  <si>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</si>
  <si>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</si>
  <si>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</si>
  <si>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</si>
  <si>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</si>
  <si>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</si>
  <si>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</si>
  <si>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</si>
  <si>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</si>
  <si>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</si>
  <si>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</si>
  <si>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</si>
  <si>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</si>
  <si>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</si>
  <si>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</si>
  <si>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</si>
  <si>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</si>
  <si>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</si>
  <si>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</si>
  <si>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</si>
  <si>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</si>
  <si>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</si>
  <si>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</si>
  <si>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</si>
  <si>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</si>
  <si>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</si>
  <si>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</si>
  <si>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</si>
  <si>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</si>
  <si>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</si>
  <si>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</si>
  <si>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</si>
  <si>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</si>
  <si>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</si>
  <si>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</si>
  <si>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</si>
  <si>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</si>
  <si>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</si>
  <si>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</si>
  <si>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</si>
  <si>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</si>
  <si>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</si>
  <si>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</si>
  <si>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</si>
  <si>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</si>
  <si>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</si>
  <si>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</si>
  <si>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</si>
  <si>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</si>
  <si>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</si>
  <si>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</si>
  <si>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</si>
  <si>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</si>
  <si>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</si>
  <si>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</si>
  <si>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</si>
  <si>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</si>
  <si>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</si>
  <si>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</si>
  <si>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</si>
  <si>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</si>
  <si>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</si>
  <si>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</si>
  <si>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</si>
  <si>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</si>
  <si>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</si>
  <si>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</si>
  <si>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</si>
  <si>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</si>
  <si>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</si>
  <si>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</si>
  <si>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</si>
  <si>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</si>
  <si>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</si>
  <si>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</si>
  <si>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</si>
  <si>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</si>
  <si>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</si>
  <si>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</si>
  <si>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</si>
  <si>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</si>
  <si>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</si>
  <si>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</si>
  <si>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</si>
  <si>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</si>
  <si>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</si>
  <si>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</si>
  <si>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</si>
  <si>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</si>
  <si>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</si>
  <si>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</si>
  <si>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</si>
  <si>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</si>
  <si>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</si>
  <si>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</si>
  <si>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</si>
  <si>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</si>
  <si>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</si>
  <si>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</si>
  <si>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</si>
  <si>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</si>
  <si>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</si>
  <si>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</si>
  <si>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</si>
  <si>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</si>
  <si>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</si>
  <si>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</si>
  <si>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</si>
  <si>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</si>
  <si>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</si>
  <si>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</si>
  <si>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</si>
  <si>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</si>
  <si>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</si>
  <si>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</si>
  <si>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</si>
  <si>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</si>
  <si>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</si>
  <si>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</si>
  <si>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</si>
  <si>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</si>
  <si>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</si>
  <si>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</si>
  <si>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</si>
  <si>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</si>
  <si>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</si>
  <si>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</si>
  <si>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</si>
  <si>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</si>
  <si>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</si>
  <si>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</si>
  <si>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</si>
  <si>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</si>
  <si>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</si>
  <si>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</si>
  <si>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</si>
  <si>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</si>
  <si>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</si>
  <si>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</si>
  <si>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</si>
  <si>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</si>
  <si>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</si>
  <si>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</si>
  <si>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</si>
  <si>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</si>
  <si>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</si>
  <si>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</si>
  <si>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</si>
  <si>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</si>
  <si>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</si>
  <si>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</si>
  <si>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</si>
  <si>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</si>
  <si>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</si>
  <si>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</si>
  <si>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</si>
  <si>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</si>
  <si>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</si>
  <si>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</si>
  <si>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</si>
  <si>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</si>
  <si>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</si>
  <si>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</si>
  <si>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</si>
  <si>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</si>
  <si>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</si>
  <si>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</si>
  <si>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</si>
  <si>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</si>
  <si>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</si>
  <si>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</si>
  <si>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</si>
  <si>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</si>
  <si>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</si>
  <si>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</si>
  <si>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</si>
  <si>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</si>
  <si>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</si>
  <si>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</si>
  <si>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</si>
  <si>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</si>
  <si>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</si>
  <si>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</si>
  <si>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</si>
  <si>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</si>
  <si>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</si>
  <si>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</si>
  <si>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</si>
  <si>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</si>
  <si>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</si>
  <si>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</si>
  <si>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</si>
  <si>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</si>
  <si>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</si>
  <si>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</si>
  <si>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</si>
  <si>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</si>
  <si>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</si>
  <si>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</si>
  <si>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</si>
  <si>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</si>
  <si>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</si>
  <si>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</si>
  <si>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</si>
  <si>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</si>
  <si>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</si>
  <si>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</si>
  <si>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</si>
  <si>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</si>
  <si>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</si>
  <si>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</si>
  <si>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</si>
  <si>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</si>
  <si>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</si>
  <si>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</si>
  <si>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</si>
  <si>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</si>
  <si>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</si>
  <si>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</si>
  <si>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</si>
  <si>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</si>
  <si>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</si>
  <si>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</si>
  <si>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</si>
  <si>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</si>
  <si>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</si>
  <si>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</si>
  <si>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</si>
  <si>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</si>
  <si>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</si>
  <si>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</si>
  <si>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</si>
  <si>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</si>
  <si>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</si>
  <si>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</si>
  <si>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</si>
  <si>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</si>
  <si>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</si>
  <si>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</si>
  <si>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</si>
  <si>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</si>
  <si>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</si>
  <si>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</si>
  <si>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</si>
  <si>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</si>
  <si>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</si>
  <si>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</si>
  <si>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</si>
  <si>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</si>
  <si>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</si>
  <si>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</si>
  <si>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</si>
  <si>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</si>
  <si>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</si>
  <si>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</si>
  <si>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</si>
  <si>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</si>
  <si>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</si>
  <si>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</si>
  <si>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</si>
  <si>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</si>
  <si>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</si>
  <si>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</si>
  <si>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</si>
  <si>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</si>
  <si>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</si>
  <si>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</si>
  <si>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</si>
  <si>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</si>
  <si>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</si>
  <si>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</si>
  <si>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</si>
  <si>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</si>
  <si>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</si>
  <si>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</si>
  <si>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</si>
  <si>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</si>
  <si>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</si>
  <si>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</si>
  <si>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</si>
  <si>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</si>
  <si>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</si>
  <si>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</si>
  <si>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</si>
  <si>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</si>
  <si>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</si>
  <si>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</si>
  <si>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</si>
  <si>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</si>
  <si>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</si>
  <si>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</si>
  <si>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</si>
  <si>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</si>
  <si>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</si>
  <si>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</si>
  <si>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</si>
  <si>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</si>
  <si>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</si>
  <si>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</si>
  <si>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</si>
  <si>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</si>
  <si>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</si>
  <si>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</si>
  <si>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</si>
  <si>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</si>
  <si>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</si>
  <si>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</si>
  <si>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</si>
  <si>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</si>
  <si>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</si>
  <si>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</si>
  <si>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</si>
  <si>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</si>
  <si>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</si>
  <si>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</si>
  <si>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</si>
  <si>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</si>
  <si>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</si>
  <si>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</si>
  <si>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</si>
  <si>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</si>
  <si>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</si>
  <si>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</si>
  <si>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</si>
  <si>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</si>
  <si>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</si>
  <si>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</si>
  <si>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</si>
  <si>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</si>
  <si>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</si>
  <si>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</si>
  <si>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</si>
  <si>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</si>
  <si>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</si>
  <si>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</si>
  <si>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</si>
  <si>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</si>
  <si>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</si>
  <si>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</si>
  <si>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</si>
  <si>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</si>
  <si>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</si>
  <si>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</si>
  <si>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</si>
  <si>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</si>
  <si>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</si>
  <si>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</si>
  <si>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</si>
  <si>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</si>
  <si>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</si>
  <si>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</si>
  <si>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</si>
  <si>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</si>
  <si>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</si>
  <si>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</si>
  <si>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</si>
  <si>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</si>
  <si>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</si>
  <si>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</si>
  <si>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</si>
  <si>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</si>
  <si>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</si>
  <si>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</si>
  <si>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</si>
  <si>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</si>
  <si>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</si>
  <si>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</si>
  <si>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</si>
  <si>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</si>
  <si>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</si>
  <si>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</si>
  <si>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</si>
  <si>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</si>
  <si>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</si>
  <si>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</si>
  <si>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</si>
  <si>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</si>
  <si>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</si>
  <si>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</si>
  <si>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</si>
  <si>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</si>
  <si>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</si>
  <si>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</si>
  <si>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</si>
  <si>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</si>
  <si>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</si>
  <si>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</si>
  <si>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</si>
  <si>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</si>
  <si>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</si>
  <si>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</si>
  <si>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</si>
  <si>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</si>
  <si>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</si>
  <si>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</si>
  <si>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</si>
  <si>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</si>
  <si>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</si>
  <si>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</si>
  <si>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</si>
  <si>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</si>
  <si>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</si>
  <si>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</si>
  <si>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</si>
  <si>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</si>
  <si>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</si>
  <si>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</si>
  <si>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</si>
  <si>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</si>
  <si>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</si>
  <si>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</si>
  <si>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</si>
  <si>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</si>
  <si>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</si>
  <si>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</si>
  <si>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</si>
  <si>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</si>
  <si>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</si>
  <si>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</si>
  <si>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</si>
  <si>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</si>
  <si>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</si>
  <si>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</si>
  <si>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</si>
  <si>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</si>
  <si>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</si>
  <si>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</si>
  <si>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</si>
  <si>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</si>
  <si>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</si>
  <si>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</si>
  <si>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</si>
  <si>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</si>
  <si>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</si>
  <si>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</si>
  <si>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</si>
  <si>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</si>
  <si>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</si>
  <si>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</si>
  <si>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</si>
  <si>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</si>
  <si>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</si>
  <si>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</si>
  <si>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</si>
  <si>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</si>
  <si>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</si>
  <si>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</si>
  <si>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</si>
  <si>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</si>
  <si>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</si>
  <si>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</si>
  <si>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</si>
  <si>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</si>
  <si>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</si>
  <si>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</si>
  <si>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</si>
  <si>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</si>
  <si>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</si>
  <si>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</si>
  <si>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</si>
  <si>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</si>
  <si>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</si>
  <si>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</si>
  <si>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</si>
  <si>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</si>
  <si>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</si>
  <si>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</si>
  <si>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</si>
  <si>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</si>
  <si>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</si>
  <si>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</si>
  <si>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</si>
  <si>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</si>
  <si>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</si>
  <si>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</si>
  <si>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</si>
  <si>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</si>
  <si>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</si>
  <si>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</si>
  <si>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</si>
  <si>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</si>
  <si>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</si>
  <si>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</si>
  <si>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</si>
  <si>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</si>
  <si>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</si>
  <si>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</si>
  <si>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</si>
  <si>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</si>
  <si>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</si>
  <si>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</si>
  <si>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</si>
  <si>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</si>
  <si>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</si>
  <si>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</si>
  <si>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</si>
  <si>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</si>
  <si>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</si>
  <si>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</si>
  <si>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</si>
  <si>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</si>
  <si>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</si>
  <si>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</si>
  <si>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</si>
  <si>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</si>
  <si>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</si>
  <si>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</si>
  <si>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</si>
  <si>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</si>
  <si>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</si>
  <si>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</si>
  <si>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</si>
  <si>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Affordable Housing Solutions, Inc.</t>
  </si>
  <si>
    <t>Judith Caira</t>
  </si>
  <si>
    <t>Executive Director</t>
  </si>
  <si>
    <t>judith.caira@AHShome.org</t>
  </si>
  <si>
    <t>City Limits</t>
  </si>
  <si>
    <t>Augusta Housing Authority</t>
  </si>
  <si>
    <t>Regions Bank</t>
  </si>
  <si>
    <t>Regions Affordable Housing</t>
  </si>
  <si>
    <t>Cabretta Capital</t>
  </si>
  <si>
    <t>State Historic Equity</t>
  </si>
  <si>
    <t>Regions Affordable</t>
  </si>
  <si>
    <t>These costs are directly related to both the low income and historic basis of the project.  Without these costs the project could not be done.</t>
  </si>
  <si>
    <t>9% Credit Competitive Round only</t>
  </si>
  <si>
    <t>2023PA-029</t>
  </si>
  <si>
    <t>Low-Rise Elevator</t>
  </si>
  <si>
    <t>PHA PBRA</t>
  </si>
  <si>
    <t>40% of Units at 60% of AMI</t>
  </si>
  <si>
    <t>Real Property Research Group</t>
  </si>
  <si>
    <t>The market for these units is exceptionally strong, with a capture rate in the low single digits.  The product and location are exceptional for the desired market segment to be served.</t>
  </si>
  <si>
    <t>This requirement is not applicable.</t>
  </si>
  <si>
    <t>Terracon</t>
  </si>
  <si>
    <t>As a historic building in poor condition, the presence of lead based paint, asbestos containing materials and mold are in evidence, along with an underground, abandoned diesel storage tank.  The Developer has extensive experience with historic rehab and remediating environmental hazards on properties.  The rehab budget has been sized to cover the projected costs of the remediation activities and the environmental engineeer (Terracon) will provide a "closure report" at the completion of the remediation to document full remediation of the hazards.</t>
  </si>
  <si>
    <t>The VA was notified of the possibility of an underground storage tank leak.  The VA, as the current property owner, has shared the Phase II report with the Georgia EPD for review.</t>
  </si>
  <si>
    <t>Freedom's Path Augusta III, LP</t>
  </si>
  <si>
    <t>Not Applicable</t>
  </si>
  <si>
    <t>Georgia Power</t>
  </si>
  <si>
    <t>City of Augusta</t>
  </si>
  <si>
    <t>Room</t>
  </si>
  <si>
    <t>Gazebo</t>
  </si>
  <si>
    <t>On-site laundry</t>
  </si>
  <si>
    <t>Terracon, Greg Hall</t>
  </si>
  <si>
    <t>A DCA waiver was provided to allow for the designation of units with lower square footages to a higher category of unit type given the constraints demanded by the historic rehab nature of the project.  This waiver is included in the application tabs.  A General Contractor, the Architect, the historic consultant (Ryan) and the PNA consultant worked on the analysis and work scope/pricing for the project.</t>
  </si>
  <si>
    <t>Agree</t>
  </si>
  <si>
    <t>The project will meet the requirements for Accessibility.  Terracon will be retained as the Accessibility Consulting firm to review all plans and provide the needed training, review and instruction during rehab to ensure full compliance with the requirements.</t>
  </si>
  <si>
    <t>As noted under Rehab Standards, the square footages of some units are lower than the unit type limits.  A waiver was granted to allow unit designations higher than the square foot minimums for Efficiency and One Bedroom units.  The historic buildings are brick, which will be maintained.  Roofing will either be the current slate roofing or 40 year architectural shingles, subject to SHPO and NPS criteria.</t>
  </si>
  <si>
    <t>Yes - see Comment</t>
  </si>
  <si>
    <t>The Applicant is pro-actively committed to ensuring that all people are afforded the opportunity to live in safe, dignified and quality housing.  Serving Disabled Veterans means that every effort will be made to ensure that the housing accommodates their needs.  Management will reach out to all "least likely to be served" populations on a periodic and regular basis to ensure there is an onging effort to market and attract all potential residents to the property.  In particular, military personnel are drawn from every demographic element of the U. S., and the commitment to serve them demands that no barriers be erected to keep them from being housed with the honor and dignity they deserve.</t>
  </si>
  <si>
    <t>By accessing the land and buildings through a no-cost lease from the VA and utiltizing to the maximum extent Federal and State historic credits, the project will be able to preserve and upgrade these two magnificent historic buildings while providing excellent housing, well located for its tenant population.  The project provides a larger than usual number of units for no additional commitment of credits than would be the case with smaller 9% developments.</t>
  </si>
  <si>
    <t>The Site is within a few hundred feet of a transit stop on Wrightsboro Road with a transit system schedule that meets the DCA criteria for regular, ongoing service.</t>
  </si>
  <si>
    <t>Monte Sano Elementary</t>
  </si>
  <si>
    <t>N/a</t>
  </si>
  <si>
    <t>The only school that qualifies for points in this category is Monte Sano Elementary.  Documentation has been provided that it was a BTO school in 2018.</t>
  </si>
  <si>
    <t>Terell Brown--Garrison for Veterans</t>
  </si>
  <si>
    <t>The Owner commits to utilizing a CORES certified 3rd Party Contractor should one become available.  It should be noted that Solutions for Veterans is designated as the Lead Service Coordinator through the VA and has met the Quality Standards for Supportive Housing issued by the Corporation for Supportive Housing.</t>
  </si>
  <si>
    <t>Deemed historic via Ga DNRHPD approved NPS Part 1 Evaluation of Significance</t>
  </si>
  <si>
    <t>The project has received its Part 1, Part 2 and Part A certifications as well as commitment letters for Historic Tax Credit proceeds.</t>
  </si>
  <si>
    <t>Within the body of the Site Control Letter is reference to the Lease tenure (75 years), the no-cost aspect of the Lease and the willingness of the VA to enter into the LURC restricting the Leasehold interest of the VA.  The project has commitments for federal and state historic tax credits accompanied by Part 2 and Part A certifications.</t>
  </si>
  <si>
    <t>Terell Brown is a certified minority (disadvantaged) business owner who will have a 20% interest in the project and has and will continue to participate in every aspect of the development and operation of the project.</t>
  </si>
  <si>
    <t>Historic Consultant and Fees</t>
  </si>
  <si>
    <t>The Owner will pay all utilities; therefore, no utility allowances have been entered into the chart.</t>
  </si>
  <si>
    <t>Garrison for Veterans</t>
  </si>
  <si>
    <t>Terell Brown</t>
  </si>
  <si>
    <t>Manager</t>
  </si>
  <si>
    <t>tbrown@gfveterans.com</t>
  </si>
  <si>
    <t>The Asset Management Fee was discontinued after year 18 as it is expected that the LP's will exit the Partnership at that time.</t>
  </si>
  <si>
    <t>The project has been modeled along DCA guidelines and meets all criteria.  Unique to this project is the VA Ground Lease which provides for a 75 year use of the property to provide housing on a priority basis to homeless, near homeless, disabled and low income Veterans.  The VA has granted this Development Team that Leasehold Option at no cost which enhances the Feasibility of the project.  The provision of PBV's from the Augusta Housing Authority will also allow the project to serve some of the most vulnerable and income challenged tenants in Augusta.  Historic tax credits allow for the comprehensive redevelopment of the property with credits per unit below the typical DCA project.</t>
  </si>
  <si>
    <t>This is a Family project, established to serve a primary population of homeless, near homeless, disabled and low income individuals, with a preference for Veterans.</t>
  </si>
  <si>
    <t>The project is well located to access almost every category of Desirable Activities.  While ostensibly located in a Food Desert, the property is within less than a mile of a Food Lion grocery store.  For this project, the proximity to the VA Medical Center with hospital services, pharmacy, emergency services, dental services, primary care medical, and vocational and physical therapy opportunities is unsurpassed.  However, since it is possible that some residents will not be Veterans, we have included Desirable sites that are available to non-Veterans.</t>
  </si>
  <si>
    <t>Augusta Transit</t>
  </si>
  <si>
    <t>www.augustaga.gov/2770/transit</t>
  </si>
  <si>
    <t>transit@augustaga.gov</t>
  </si>
  <si>
    <t>Pages 5-6</t>
  </si>
  <si>
    <t>Pages 9-10</t>
  </si>
  <si>
    <t>Pages 10-16</t>
  </si>
  <si>
    <t>Pages 22-26</t>
  </si>
  <si>
    <t>NMSDC</t>
  </si>
  <si>
    <t>The buildings are currently vacant and were previously used by the VA for various medical and administrative purposes.  The Buidlings will be adaptively re-used to create 76 apartments, community amenities, and management and services office space.  The Buildings will be renovated in accordance with NPS rehabilitation/preservation standards and receive a Part III certification as well as Historic Tax Credit equity.</t>
  </si>
  <si>
    <t>See Letter in Tab 29</t>
  </si>
  <si>
    <t>April, 2022</t>
  </si>
  <si>
    <t>HUDUser</t>
  </si>
  <si>
    <t>DDA/QCT</t>
  </si>
  <si>
    <t>The project is a 100% historic preservation project which all but requires a consulting firm to naviagate through the process.  Further, both the Georgia SHPO and the NPS charge review fees for the applications, which have also been included in the project budget.</t>
  </si>
  <si>
    <t>The equity check calculation does not match up with the percentages for this project.  Regions will have a 98.99% interest.  Cabretta will have a 1% interest and the GP will have a .01% interest.  Using the correct percentage multiplier for Regions will produce the equity number in the Sources column for Regions LIHTC equity.</t>
  </si>
  <si>
    <t xml:space="preserve">Property taxes are input at "0".  This is not an abatement.  Since this project is located on tax exempt federal property, no taxes are due.  We have provided the 2022 audited expenses from a sister project on the campus showing that no taxes were paid.  Further, as a historic tax credit project, the property taxes are frozen at the current level, which is $0.
Insurance was based on an estimate from the agency that writes the insurance for other Veteran projects this Team is engaged in around the country.  The email estimate of that cost is included in Tab 2.  This quote is higher than the audited pricing for the other project on the campus noted above, but we decided to use the agency number as insurance rates are volatile and this approach was more conservative.
For some reason the reserve calculation is not computing, so we entered the $420/unit/year into that cell, which is the appropriate amount for a historic rehab project.  
Ancillary income will include application fees, late charges, forfeited pet deposits, damage fees, forfeited deposits and lost key fees.
Free high speed internet will be provided in the common areas and the technology center.
</t>
  </si>
  <si>
    <t>The Project is designated Family, has ample 1 bedroom units that are not tied to PBV's to serve an 811 eligible population and the Owner is willing to accept any referrals through that program.</t>
  </si>
  <si>
    <t>The project was modeled based on projected draw amounts, equity pay-in, timeline for completion and construction loan interest rate.  A schedule based on that calculation has been included in Tab 2 (Feasibility).
The total value of the state and federal historic credits has been subtracted from the basis calculation.  While this category suggests only federal credits be subtracted, we have taken the conservative approach and assumed that since we are also receiving state LIHTC credits we should subtract those credits from basis as well.</t>
  </si>
  <si>
    <t>Freedom's Path Augusta III</t>
  </si>
  <si>
    <t>The Owner will have special programs (holiday events, Veteran-centric celebrations and memorials, special dinners, etc.) throughout the year for residents, will provide enrichment classes and programs around financing, legal matters, taxation, etc. and will have on-site "soft" medical services like blood pressure screening, healthy eating programs, education around healthy life-style practices to name a few.  In addition to the stipulated services required by DCA, the Owner will provide VA funded Case Management and will fund a part-time Services Coordinator to maximize service and program opportunities for the residents.</t>
  </si>
  <si>
    <t xml:space="preserve">This is a unique situation.  The VA selects a Development Team to move forward with generating the financing and protocol for redeveloping property on its campuses.  This Team was selected by the VA, which issues an Option to Lease, incorporated into a Site Control letter, which is generated for the explicit purpose of documenting that the project has site control through an Option to Lease with a Lease term in this case of 75 years. </t>
  </si>
  <si>
    <t>The Site is directly accessed through 1 Freedom Way, a public road entering the VA campus off of Wrightsboro Road. A site access sheet has been included in the CSDP file.</t>
  </si>
  <si>
    <t>The VA campus is a Federal Reservation, not under the jurisdiction of the local government.  Augusta provided a letter deferring zoning matters to the VA, which through its Site Control letter explicitly grants to the Development Team the right to redevelop the property as proposed.  A copy of the Site Control letter is included in the Zoning Tab evidencing the VA's approval of this project as planned.</t>
  </si>
  <si>
    <t>The projecct will be all Electric and Georgia Power is the primary electricity provider to the site.  Electricity service has been noted in the CSDP.</t>
  </si>
  <si>
    <t>The property is currently served by the City of Augusta with Water and Sewer, though due to the vacant nature of the buildings, service has been disconnected.  It will be reactivated after all lines are examined and replaced as needed and meters are replaced.</t>
  </si>
  <si>
    <t>The project will provide the required minimum of site amenities, and plans to exceed those requirements based on the final building plans and site development considerations.</t>
  </si>
  <si>
    <t>The Site Plan has been generated based on DCA guidelines and within the parameters dictated by the VA site selection for the project.  The project is well located and the site affords the maximum benefits to residents for amenities and access to VA services.  All required documentation has been included in the CSDP folder</t>
  </si>
  <si>
    <t>This project will qualify under the EarthCraft Sustainable Preservation guidelines which are explicitly applicable to historic preservation projects.  This category is not included in the DCA dropdown list, so we have selected Earth Craft House Multifamily as this is a multi-family project.  However, as a Historic Preservation project certain things are not possible to be done and retain the historic character of the building.  The Sustainable Preservation guidelines were developed explicitly to meet the possibilities and limitations of sustainable historic preservation.  This project will far exceed the point requirements for Sustainable Development under that program.</t>
  </si>
  <si>
    <t>Affordable Housing Solutions, Inc. is the Qualified, Experienced Developer/General Partner for the project.  It received this designation based on the Pre-application submission for this project.  Two additional members of the Development Team (Garrison for Veterans and Wellington Development Company) were submitted for capacity building purposes.  Garrison for Veterans is also submitted as the Minority Certified Small Business.  Terell Brown, the Owner of Garrison for Veterans, is also a combat disabled Veteran.</t>
  </si>
  <si>
    <t xml:space="preserve">The project is included within the City of Augusta Veterans Redevelopment Plan for the Charlie Norwood VAMC campus area.  The passage of this Plan included significant community input, and substantial resources have been committed and expended to implement aspects of the Plan. </t>
  </si>
  <si>
    <t>While another project has been developed in the area (Freedom's Path Augusta I), no project has been done in the last six years within 1 mile of the project site, thereby affording this project 3 points.  Though not required, maps of this fact have been included in the Previous Projects tab in the application.</t>
  </si>
  <si>
    <t xml:space="preserve">This project has a commitment for 25 Project Based Vouchers, documented by an award letter from the Augusta Housing Authority.  However, the QAP states that the minimum documentation required is a Housing Assistance Payment Contract (HAP).  These contracts are not issued until a project is completed and ready to begin occupancy, so it is not possible to provide this documentation.  Hopefully, the letter supplied in TAB 25 as a commitment for NEW PBRA will be sufficient to capture the 3 points in this category.
A detailed narrative has been provided regarding the situation of the Part A Georgia Historic Tax Credit approval.  In short, while the application was submitted timely and the Federal Part 2 Certification was received (typically not done without the State Part A approval), a technical misunderstanding between the Historic Consultant (Ryan) and the Georgia SHPO regarding what constituted a formal submission (only electronic submission is accepted--not the submitted paper version), the Part A could not be issued by the LIHTC application date.  Recognizing the dilemma that this change in policy created, the SHPO agreed to provide a letter included in this application in TAB 42 stating that the Part A has been approved but formal documentation of that must be delayed another 3 weeks for additional technical reasons.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</si>
</sst>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Hyperlink 2" xfId="36"/>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2 2" xfId="37"/>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2 2" xfId="38"/>
    <cellStyle name="Percent 3" xfId="29"/>
    <cellStyle name="Percent 4" xfId="35"/>
  </cellStyles>
  <dxfs count="196">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Freedom's Path Augusta III</v>
      </c>
    </row>
    <row r="3" spans="1:6" ht="15" customHeight="1">
      <c r="A3" s="666" t="str">
        <f>CONCATENATE('Part I-Project Identification'!F26,", ", 'Part I-Project Identification'!J26," County")</f>
        <v>Augusta, Richmond County</v>
      </c>
    </row>
    <row r="4" spans="1:6" ht="12" customHeight="1">
      <c r="A4" s="1121"/>
    </row>
    <row r="5" spans="1:6" ht="72" customHeight="1">
      <c r="A5" s="3009" t="s">
        <v>6070</v>
      </c>
      <c r="B5" s="3010" t="s">
        <v>3894</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30" zoomScaleNormal="100" workbookViewId="0">
      <selection activeCell="E25" sqref="E2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3135</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1" t="str">
        <f>CONCATENATE("PART FOUR - PROJECTED REVENUES &amp; EXPENSES","  -  ",'Part I-Project Identification'!$O$7," ",'Part I-Project Identification'!$F$25,", ",'Part I-Project Identification'!F26,", ",'Part I-Project Identification'!J26," County")</f>
        <v>PART FOUR - PROJECTED REVENUES &amp; EXPENSES  -  2023-0 Freedom's Path Augusta III, Augusta, Richmond County</v>
      </c>
      <c r="B2" s="3662"/>
      <c r="C2" s="3662"/>
      <c r="D2" s="3662"/>
      <c r="E2" s="3662"/>
      <c r="F2" s="3662"/>
      <c r="G2" s="3662"/>
      <c r="H2" s="3662"/>
      <c r="I2" s="3662"/>
      <c r="J2" s="3662"/>
      <c r="K2" s="3662"/>
      <c r="L2" s="3662"/>
      <c r="M2" s="3662"/>
      <c r="N2" s="3662"/>
      <c r="O2" s="3662"/>
      <c r="P2" s="3662"/>
      <c r="Q2" s="3663"/>
      <c r="T2" s="1427" t="str">
        <f>A2</f>
        <v>PART FOUR - PROJECTED REVENUES &amp; EXPENSES  -  2023-0 Freedom's Path Augusta III,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6092</v>
      </c>
      <c r="E4" s="1515"/>
      <c r="F4" s="1515"/>
      <c r="G4" s="1515"/>
      <c r="H4" s="1515"/>
      <c r="I4" s="1515"/>
      <c r="J4" s="1515"/>
      <c r="K4" s="93"/>
      <c r="L4" s="93"/>
      <c r="M4" s="93"/>
      <c r="O4" s="153" t="s">
        <v>534</v>
      </c>
      <c r="P4" s="3666" t="str">
        <f>'Part I-Project Identification'!$O$28</f>
        <v>Augusta-Richmond Co.</v>
      </c>
      <c r="Q4" s="3666"/>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5" t="s">
        <v>3045</v>
      </c>
      <c r="MG4" s="3555" t="s">
        <v>3046</v>
      </c>
      <c r="MH4" s="3555" t="s">
        <v>3047</v>
      </c>
      <c r="MI4" s="3555" t="s">
        <v>3048</v>
      </c>
      <c r="MJ4" s="355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3" t="s">
        <v>3203</v>
      </c>
      <c r="R5" s="830"/>
      <c r="S5" s="337"/>
      <c r="T5" s="337"/>
      <c r="U5" s="337"/>
      <c r="W5" s="338"/>
      <c r="X5" s="3555" t="s">
        <v>3680</v>
      </c>
      <c r="Y5" s="3555" t="s">
        <v>3681</v>
      </c>
      <c r="Z5" s="3555" t="s">
        <v>3682</v>
      </c>
      <c r="AA5" s="3555" t="s">
        <v>3683</v>
      </c>
      <c r="AB5" s="3555" t="s">
        <v>3684</v>
      </c>
      <c r="AC5" s="3555" t="s">
        <v>3685</v>
      </c>
      <c r="AD5" s="3555" t="s">
        <v>3686</v>
      </c>
      <c r="AE5" s="3555" t="s">
        <v>3687</v>
      </c>
      <c r="AF5" s="3555" t="s">
        <v>3688</v>
      </c>
      <c r="AG5" s="3555" t="s">
        <v>3689</v>
      </c>
      <c r="AH5" s="3555" t="s">
        <v>861</v>
      </c>
      <c r="AI5" s="3555" t="s">
        <v>705</v>
      </c>
      <c r="AJ5" s="3555" t="s">
        <v>706</v>
      </c>
      <c r="AK5" s="3555" t="s">
        <v>707</v>
      </c>
      <c r="AL5" s="3555" t="s">
        <v>708</v>
      </c>
      <c r="AM5" s="3555" t="s">
        <v>862</v>
      </c>
      <c r="AN5" s="3555" t="s">
        <v>2131</v>
      </c>
      <c r="AO5" s="3555" t="s">
        <v>2132</v>
      </c>
      <c r="AP5" s="3555" t="s">
        <v>2133</v>
      </c>
      <c r="AQ5" s="3555" t="s">
        <v>2134</v>
      </c>
      <c r="AR5" s="3555" t="s">
        <v>3691</v>
      </c>
      <c r="AS5" s="3555" t="s">
        <v>3692</v>
      </c>
      <c r="AT5" s="3555" t="s">
        <v>3693</v>
      </c>
      <c r="AU5" s="3555" t="s">
        <v>3694</v>
      </c>
      <c r="AV5" s="3555" t="s">
        <v>3690</v>
      </c>
      <c r="AW5" s="3555" t="s">
        <v>863</v>
      </c>
      <c r="AX5" s="3555" t="s">
        <v>2135</v>
      </c>
      <c r="AY5" s="3555" t="s">
        <v>2136</v>
      </c>
      <c r="AZ5" s="3555" t="s">
        <v>2137</v>
      </c>
      <c r="BA5" s="3555" t="s">
        <v>2138</v>
      </c>
      <c r="BB5" s="3555" t="s">
        <v>3695</v>
      </c>
      <c r="BC5" s="3555" t="s">
        <v>3696</v>
      </c>
      <c r="BD5" s="3555" t="s">
        <v>3697</v>
      </c>
      <c r="BE5" s="3555" t="s">
        <v>3698</v>
      </c>
      <c r="BF5" s="3555" t="s">
        <v>3699</v>
      </c>
      <c r="BG5" s="3555" t="s">
        <v>123</v>
      </c>
      <c r="BH5" s="3555" t="s">
        <v>2139</v>
      </c>
      <c r="BI5" s="3555" t="s">
        <v>2140</v>
      </c>
      <c r="BJ5" s="3555" t="s">
        <v>2141</v>
      </c>
      <c r="BK5" s="3555" t="s">
        <v>1080</v>
      </c>
      <c r="BL5" s="3555" t="s">
        <v>3700</v>
      </c>
      <c r="BM5" s="3555" t="s">
        <v>3701</v>
      </c>
      <c r="BN5" s="3555" t="s">
        <v>3702</v>
      </c>
      <c r="BO5" s="3555" t="s">
        <v>3703</v>
      </c>
      <c r="BP5" s="3555" t="s">
        <v>3704</v>
      </c>
      <c r="BQ5" s="3555" t="s">
        <v>517</v>
      </c>
      <c r="BR5" s="3555" t="s">
        <v>518</v>
      </c>
      <c r="BS5" s="3555" t="s">
        <v>535</v>
      </c>
      <c r="BT5" s="3555" t="s">
        <v>536</v>
      </c>
      <c r="BU5" s="3555" t="s">
        <v>537</v>
      </c>
      <c r="BV5" s="3555" t="s">
        <v>3705</v>
      </c>
      <c r="BW5" s="3555" t="s">
        <v>3706</v>
      </c>
      <c r="BX5" s="3555" t="s">
        <v>3707</v>
      </c>
      <c r="BY5" s="3555" t="s">
        <v>3708</v>
      </c>
      <c r="BZ5" s="3555" t="s">
        <v>3709</v>
      </c>
      <c r="CA5" s="3555" t="s">
        <v>538</v>
      </c>
      <c r="CB5" s="3555" t="s">
        <v>539</v>
      </c>
      <c r="CC5" s="3555" t="s">
        <v>540</v>
      </c>
      <c r="CD5" s="3555" t="s">
        <v>541</v>
      </c>
      <c r="CE5" s="3555" t="s">
        <v>542</v>
      </c>
      <c r="CF5" s="3555" t="s">
        <v>543</v>
      </c>
      <c r="CG5" s="3555" t="s">
        <v>544</v>
      </c>
      <c r="CH5" s="3555" t="s">
        <v>872</v>
      </c>
      <c r="CI5" s="3555" t="s">
        <v>873</v>
      </c>
      <c r="CJ5" s="3555" t="s">
        <v>874</v>
      </c>
      <c r="CK5" s="3555" t="s">
        <v>3715</v>
      </c>
      <c r="CL5" s="3555" t="s">
        <v>3716</v>
      </c>
      <c r="CM5" s="3555" t="s">
        <v>3717</v>
      </c>
      <c r="CN5" s="3555" t="s">
        <v>3718</v>
      </c>
      <c r="CO5" s="3555" t="s">
        <v>3719</v>
      </c>
      <c r="CP5" s="3555" t="s">
        <v>3710</v>
      </c>
      <c r="CQ5" s="3555" t="s">
        <v>3711</v>
      </c>
      <c r="CR5" s="3555" t="s">
        <v>3712</v>
      </c>
      <c r="CS5" s="3555" t="s">
        <v>3713</v>
      </c>
      <c r="CT5" s="3555" t="s">
        <v>3714</v>
      </c>
      <c r="CU5" s="3555" t="s">
        <v>3720</v>
      </c>
      <c r="CV5" s="3555" t="s">
        <v>3721</v>
      </c>
      <c r="CW5" s="3555" t="s">
        <v>3722</v>
      </c>
      <c r="CX5" s="3555" t="s">
        <v>3723</v>
      </c>
      <c r="CY5" s="3555" t="s">
        <v>3724</v>
      </c>
      <c r="CZ5" s="3555" t="s">
        <v>466</v>
      </c>
      <c r="DA5" s="3555" t="s">
        <v>467</v>
      </c>
      <c r="DB5" s="3555" t="s">
        <v>468</v>
      </c>
      <c r="DC5" s="3555" t="s">
        <v>469</v>
      </c>
      <c r="DD5" s="3555" t="s">
        <v>470</v>
      </c>
      <c r="DE5" s="3555" t="s">
        <v>3725</v>
      </c>
      <c r="DF5" s="3555" t="s">
        <v>3726</v>
      </c>
      <c r="DG5" s="3555" t="s">
        <v>3727</v>
      </c>
      <c r="DH5" s="3555" t="s">
        <v>3728</v>
      </c>
      <c r="DI5" s="3555" t="s">
        <v>3729</v>
      </c>
      <c r="DJ5" s="3555" t="s">
        <v>822</v>
      </c>
      <c r="DK5" s="3555" t="s">
        <v>823</v>
      </c>
      <c r="DL5" s="3555" t="s">
        <v>824</v>
      </c>
      <c r="DM5" s="3555" t="s">
        <v>825</v>
      </c>
      <c r="DN5" s="3555" t="s">
        <v>826</v>
      </c>
      <c r="DO5" s="3555" t="s">
        <v>827</v>
      </c>
      <c r="DP5" s="3555" t="s">
        <v>828</v>
      </c>
      <c r="DQ5" s="3555" t="s">
        <v>829</v>
      </c>
      <c r="DR5" s="3555" t="s">
        <v>830</v>
      </c>
      <c r="DS5" s="3555" t="s">
        <v>831</v>
      </c>
      <c r="DT5" s="3555" t="s">
        <v>3730</v>
      </c>
      <c r="DU5" s="3555" t="s">
        <v>3731</v>
      </c>
      <c r="DV5" s="3555" t="s">
        <v>3732</v>
      </c>
      <c r="DW5" s="3555" t="s">
        <v>3733</v>
      </c>
      <c r="DX5" s="3555" t="s">
        <v>3734</v>
      </c>
      <c r="DY5" s="3555" t="s">
        <v>3735</v>
      </c>
      <c r="DZ5" s="3555" t="s">
        <v>3736</v>
      </c>
      <c r="EA5" s="3555" t="s">
        <v>3737</v>
      </c>
      <c r="EB5" s="3555" t="s">
        <v>3738</v>
      </c>
      <c r="EC5" s="3555" t="s">
        <v>3739</v>
      </c>
      <c r="ED5" s="3555" t="s">
        <v>2235</v>
      </c>
      <c r="EE5" s="3555" t="s">
        <v>2236</v>
      </c>
      <c r="EF5" s="3555" t="s">
        <v>2237</v>
      </c>
      <c r="EG5" s="3555" t="s">
        <v>2238</v>
      </c>
      <c r="EH5" s="3555" t="s">
        <v>2239</v>
      </c>
      <c r="EI5" s="3555" t="s">
        <v>3740</v>
      </c>
      <c r="EJ5" s="3555" t="s">
        <v>3741</v>
      </c>
      <c r="EK5" s="3555" t="s">
        <v>3742</v>
      </c>
      <c r="EL5" s="3555" t="s">
        <v>3743</v>
      </c>
      <c r="EM5" s="3555" t="s">
        <v>3744</v>
      </c>
      <c r="EN5" s="3555" t="s">
        <v>3745</v>
      </c>
      <c r="EO5" s="3555" t="s">
        <v>3746</v>
      </c>
      <c r="EP5" s="3555" t="s">
        <v>3747</v>
      </c>
      <c r="EQ5" s="3555" t="s">
        <v>3748</v>
      </c>
      <c r="ER5" s="3555" t="s">
        <v>3749</v>
      </c>
      <c r="ES5" s="3555" t="s">
        <v>111</v>
      </c>
      <c r="ET5" s="3555" t="s">
        <v>1083</v>
      </c>
      <c r="EU5" s="3555" t="s">
        <v>1084</v>
      </c>
      <c r="EV5" s="3555" t="s">
        <v>1139</v>
      </c>
      <c r="EW5" s="3555" t="s">
        <v>1140</v>
      </c>
      <c r="EX5" s="3555" t="s">
        <v>126</v>
      </c>
      <c r="EY5" s="3555" t="s">
        <v>1141</v>
      </c>
      <c r="EZ5" s="3555" t="s">
        <v>1142</v>
      </c>
      <c r="FA5" s="3555" t="s">
        <v>1143</v>
      </c>
      <c r="FB5" s="3555" t="s">
        <v>1144</v>
      </c>
      <c r="FC5" s="3555" t="s">
        <v>3750</v>
      </c>
      <c r="FD5" s="3555" t="s">
        <v>3751</v>
      </c>
      <c r="FE5" s="3555" t="s">
        <v>3752</v>
      </c>
      <c r="FF5" s="3555" t="s">
        <v>3753</v>
      </c>
      <c r="FG5" s="3555" t="s">
        <v>3754</v>
      </c>
      <c r="FH5" s="3555" t="s">
        <v>125</v>
      </c>
      <c r="FI5" s="3555" t="s">
        <v>853</v>
      </c>
      <c r="FJ5" s="3555" t="s">
        <v>854</v>
      </c>
      <c r="FK5" s="3555" t="s">
        <v>855</v>
      </c>
      <c r="FL5" s="3555" t="s">
        <v>856</v>
      </c>
      <c r="FM5" s="3555" t="s">
        <v>3755</v>
      </c>
      <c r="FN5" s="3555" t="s">
        <v>3756</v>
      </c>
      <c r="FO5" s="3555" t="s">
        <v>3757</v>
      </c>
      <c r="FP5" s="3555" t="s">
        <v>3758</v>
      </c>
      <c r="FQ5" s="3555" t="s">
        <v>3759</v>
      </c>
      <c r="FR5" s="3555" t="s">
        <v>124</v>
      </c>
      <c r="FS5" s="3555" t="s">
        <v>857</v>
      </c>
      <c r="FT5" s="3555" t="s">
        <v>858</v>
      </c>
      <c r="FU5" s="3555" t="s">
        <v>859</v>
      </c>
      <c r="FV5" s="3555" t="s">
        <v>860</v>
      </c>
      <c r="FW5" s="3555" t="s">
        <v>752</v>
      </c>
      <c r="FX5" s="3555" t="s">
        <v>753</v>
      </c>
      <c r="FY5" s="3555" t="s">
        <v>754</v>
      </c>
      <c r="FZ5" s="3555" t="s">
        <v>755</v>
      </c>
      <c r="GA5" s="3555" t="s">
        <v>756</v>
      </c>
      <c r="GB5" s="3555" t="s">
        <v>896</v>
      </c>
      <c r="GC5" s="3555" t="s">
        <v>897</v>
      </c>
      <c r="GD5" s="3555" t="s">
        <v>898</v>
      </c>
      <c r="GE5" s="3555" t="s">
        <v>899</v>
      </c>
      <c r="GF5" s="3555" t="s">
        <v>2234</v>
      </c>
      <c r="GG5" s="3555" t="s">
        <v>1344</v>
      </c>
      <c r="GH5" s="3555" t="s">
        <v>1345</v>
      </c>
      <c r="GI5" s="3555" t="s">
        <v>1346</v>
      </c>
      <c r="GJ5" s="3555" t="s">
        <v>1347</v>
      </c>
      <c r="GK5" s="3555" t="s">
        <v>1348</v>
      </c>
      <c r="GL5" s="3555" t="s">
        <v>411</v>
      </c>
      <c r="GM5" s="3555" t="s">
        <v>412</v>
      </c>
      <c r="GN5" s="3555" t="s">
        <v>413</v>
      </c>
      <c r="GO5" s="3555" t="s">
        <v>414</v>
      </c>
      <c r="GP5" s="3555" t="s">
        <v>415</v>
      </c>
      <c r="GQ5" s="3555" t="s">
        <v>14</v>
      </c>
      <c r="GR5" s="3555" t="s">
        <v>15</v>
      </c>
      <c r="GS5" s="3555" t="s">
        <v>16</v>
      </c>
      <c r="GT5" s="3555" t="s">
        <v>17</v>
      </c>
      <c r="GU5" s="3555" t="s">
        <v>18</v>
      </c>
      <c r="GV5" s="3555" t="s">
        <v>214</v>
      </c>
      <c r="GW5" s="3555" t="s">
        <v>215</v>
      </c>
      <c r="GX5" s="3555" t="s">
        <v>216</v>
      </c>
      <c r="GY5" s="3555" t="s">
        <v>1680</v>
      </c>
      <c r="GZ5" s="3555" t="s">
        <v>1681</v>
      </c>
      <c r="HA5" s="3555" t="s">
        <v>1682</v>
      </c>
      <c r="HB5" s="3555" t="s">
        <v>550</v>
      </c>
      <c r="HC5" s="3555" t="s">
        <v>551</v>
      </c>
      <c r="HD5" s="3555" t="s">
        <v>552</v>
      </c>
      <c r="HE5" s="3555" t="s">
        <v>553</v>
      </c>
      <c r="HF5" s="3555" t="s">
        <v>19</v>
      </c>
      <c r="HG5" s="3555" t="s">
        <v>20</v>
      </c>
      <c r="HH5" s="3555" t="s">
        <v>21</v>
      </c>
      <c r="HI5" s="3555" t="s">
        <v>22</v>
      </c>
      <c r="HJ5" s="3555" t="s">
        <v>23</v>
      </c>
      <c r="HK5" s="3555" t="s">
        <v>465</v>
      </c>
      <c r="HL5" s="3555" t="s">
        <v>407</v>
      </c>
      <c r="HM5" s="3555" t="s">
        <v>408</v>
      </c>
      <c r="HN5" s="3555" t="s">
        <v>409</v>
      </c>
      <c r="HO5" s="3555" t="s">
        <v>410</v>
      </c>
      <c r="HP5" s="3555" t="s">
        <v>2042</v>
      </c>
      <c r="HQ5" s="3555" t="s">
        <v>2043</v>
      </c>
      <c r="HR5" s="3555" t="s">
        <v>2044</v>
      </c>
      <c r="HS5" s="3555" t="s">
        <v>1385</v>
      </c>
      <c r="HT5" s="3555" t="s">
        <v>1386</v>
      </c>
      <c r="HU5" s="3555" t="s">
        <v>24</v>
      </c>
      <c r="HV5" s="3555" t="s">
        <v>25</v>
      </c>
      <c r="HW5" s="3555" t="s">
        <v>26</v>
      </c>
      <c r="HX5" s="3555" t="s">
        <v>27</v>
      </c>
      <c r="HY5" s="355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5" t="s">
        <v>1518</v>
      </c>
      <c r="LH5" s="3555" t="s">
        <v>2321</v>
      </c>
      <c r="LI5" s="3555" t="s">
        <v>2322</v>
      </c>
      <c r="LJ5" s="3555" t="s">
        <v>364</v>
      </c>
      <c r="LK5" s="3555" t="s">
        <v>365</v>
      </c>
      <c r="LL5" s="3555" t="s">
        <v>366</v>
      </c>
      <c r="LM5" s="3555" t="s">
        <v>367</v>
      </c>
      <c r="LN5" s="3555" t="s">
        <v>368</v>
      </c>
      <c r="LO5" s="3555" t="s">
        <v>369</v>
      </c>
      <c r="LP5" s="3555" t="s">
        <v>370</v>
      </c>
      <c r="LQ5" s="3555" t="s">
        <v>195</v>
      </c>
      <c r="LR5" s="3555" t="s">
        <v>196</v>
      </c>
      <c r="LS5" s="3555" t="s">
        <v>197</v>
      </c>
      <c r="LT5" s="3555" t="s">
        <v>198</v>
      </c>
      <c r="LU5" s="3555" t="s">
        <v>199</v>
      </c>
      <c r="LV5" s="3555" t="s">
        <v>200</v>
      </c>
      <c r="LW5" s="3555" t="s">
        <v>201</v>
      </c>
      <c r="LX5" s="3555" t="s">
        <v>202</v>
      </c>
      <c r="LY5" s="3555" t="s">
        <v>203</v>
      </c>
      <c r="LZ5" s="3555" t="s">
        <v>204</v>
      </c>
      <c r="MA5" s="3555" t="s">
        <v>205</v>
      </c>
      <c r="MB5" s="3555" t="s">
        <v>206</v>
      </c>
      <c r="MC5" s="3555" t="s">
        <v>207</v>
      </c>
      <c r="MD5" s="3555" t="s">
        <v>208</v>
      </c>
      <c r="ME5" s="3555" t="s">
        <v>209</v>
      </c>
      <c r="MF5" s="3555"/>
      <c r="MG5" s="3555"/>
      <c r="MH5" s="3555"/>
      <c r="MI5" s="3555"/>
      <c r="MJ5" s="355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3" t="str">
        <f>IF(A49&gt;0,"Finish Row!","")</f>
        <v>Finish Row!</v>
      </c>
      <c r="B6" s="141" t="s">
        <v>6093</v>
      </c>
      <c r="D6" s="1515"/>
      <c r="E6" s="1515"/>
      <c r="F6" s="1515"/>
      <c r="G6" s="1211" t="s">
        <v>194</v>
      </c>
      <c r="H6" s="3664" t="s">
        <v>6095</v>
      </c>
      <c r="I6" s="3665"/>
      <c r="J6" s="3665"/>
      <c r="K6" s="686" t="s">
        <v>3135</v>
      </c>
      <c r="L6" s="3557" t="str">
        <f>'Part I-Project Identification'!$A$6</f>
        <v>April 2023</v>
      </c>
      <c r="M6" s="3557"/>
      <c r="N6" s="3557"/>
      <c r="O6" s="1717" t="s">
        <v>6075</v>
      </c>
      <c r="P6" s="1505">
        <v>74100</v>
      </c>
      <c r="Q6" s="3623"/>
      <c r="R6" s="830"/>
      <c r="S6" s="72"/>
      <c r="U6" s="72"/>
      <c r="X6" s="3555"/>
      <c r="Y6" s="3555"/>
      <c r="Z6" s="3555"/>
      <c r="AA6" s="3555"/>
      <c r="AB6" s="3555"/>
      <c r="AC6" s="3555"/>
      <c r="AD6" s="3555"/>
      <c r="AE6" s="3555"/>
      <c r="AF6" s="3555"/>
      <c r="AG6" s="3555"/>
      <c r="AH6" s="3555"/>
      <c r="AI6" s="3555"/>
      <c r="AJ6" s="3555"/>
      <c r="AK6" s="3555"/>
      <c r="AL6" s="3555"/>
      <c r="AM6" s="3555"/>
      <c r="AN6" s="3555"/>
      <c r="AO6" s="3555"/>
      <c r="AP6" s="3555"/>
      <c r="AQ6" s="3555"/>
      <c r="AR6" s="3555"/>
      <c r="AS6" s="3555"/>
      <c r="AT6" s="3555"/>
      <c r="AU6" s="3555"/>
      <c r="AV6" s="3555"/>
      <c r="AW6" s="3555"/>
      <c r="AX6" s="3555"/>
      <c r="AY6" s="3555"/>
      <c r="AZ6" s="3555"/>
      <c r="BA6" s="3555"/>
      <c r="BB6" s="3555"/>
      <c r="BC6" s="3555"/>
      <c r="BD6" s="3555"/>
      <c r="BE6" s="3555"/>
      <c r="BF6" s="3555"/>
      <c r="BG6" s="3555"/>
      <c r="BH6" s="3555"/>
      <c r="BI6" s="3555"/>
      <c r="BJ6" s="3555"/>
      <c r="BK6" s="3555"/>
      <c r="BL6" s="3555"/>
      <c r="BM6" s="3555"/>
      <c r="BN6" s="3555"/>
      <c r="BO6" s="3555"/>
      <c r="BP6" s="3555"/>
      <c r="BQ6" s="3555"/>
      <c r="BR6" s="3555"/>
      <c r="BS6" s="3555"/>
      <c r="BT6" s="3555"/>
      <c r="BU6" s="3555"/>
      <c r="BV6" s="3555"/>
      <c r="BW6" s="3555"/>
      <c r="BX6" s="3555"/>
      <c r="BY6" s="3555"/>
      <c r="BZ6" s="3555"/>
      <c r="CA6" s="3555"/>
      <c r="CB6" s="3555"/>
      <c r="CC6" s="3555"/>
      <c r="CD6" s="3555"/>
      <c r="CE6" s="3555"/>
      <c r="CF6" s="3555"/>
      <c r="CG6" s="3555"/>
      <c r="CH6" s="3555"/>
      <c r="CI6" s="3555"/>
      <c r="CJ6" s="3555"/>
      <c r="CK6" s="3555"/>
      <c r="CL6" s="3555"/>
      <c r="CM6" s="3555"/>
      <c r="CN6" s="3555"/>
      <c r="CO6" s="3555"/>
      <c r="CP6" s="3555"/>
      <c r="CQ6" s="3555"/>
      <c r="CR6" s="3555"/>
      <c r="CS6" s="3555"/>
      <c r="CT6" s="3555"/>
      <c r="CU6" s="3555"/>
      <c r="CV6" s="3555"/>
      <c r="CW6" s="3555"/>
      <c r="CX6" s="3555"/>
      <c r="CY6" s="3555"/>
      <c r="CZ6" s="3555"/>
      <c r="DA6" s="3555"/>
      <c r="DB6" s="3555"/>
      <c r="DC6" s="3555"/>
      <c r="DD6" s="3555"/>
      <c r="DE6" s="3555"/>
      <c r="DF6" s="3555"/>
      <c r="DG6" s="3555"/>
      <c r="DH6" s="3555"/>
      <c r="DI6" s="3555"/>
      <c r="DJ6" s="3555"/>
      <c r="DK6" s="3555"/>
      <c r="DL6" s="3555"/>
      <c r="DM6" s="3555"/>
      <c r="DN6" s="3555"/>
      <c r="DO6" s="3555"/>
      <c r="DP6" s="3555"/>
      <c r="DQ6" s="3555"/>
      <c r="DR6" s="3555"/>
      <c r="DS6" s="3555"/>
      <c r="DT6" s="3555"/>
      <c r="DU6" s="3555"/>
      <c r="DV6" s="3555"/>
      <c r="DW6" s="3555"/>
      <c r="DX6" s="3555"/>
      <c r="DY6" s="3555"/>
      <c r="DZ6" s="3555"/>
      <c r="EA6" s="3555"/>
      <c r="EB6" s="3555"/>
      <c r="EC6" s="3555"/>
      <c r="ED6" s="3555"/>
      <c r="EE6" s="3555"/>
      <c r="EF6" s="3555"/>
      <c r="EG6" s="3555"/>
      <c r="EH6" s="3555"/>
      <c r="EI6" s="3555"/>
      <c r="EJ6" s="3555"/>
      <c r="EK6" s="3555"/>
      <c r="EL6" s="3555"/>
      <c r="EM6" s="3555"/>
      <c r="EN6" s="3555"/>
      <c r="EO6" s="3555"/>
      <c r="EP6" s="3555"/>
      <c r="EQ6" s="3555"/>
      <c r="ER6" s="3555"/>
      <c r="ES6" s="3555"/>
      <c r="ET6" s="3555"/>
      <c r="EU6" s="3555"/>
      <c r="EV6" s="3555"/>
      <c r="EW6" s="3555"/>
      <c r="EX6" s="3555"/>
      <c r="EY6" s="3555"/>
      <c r="EZ6" s="3555"/>
      <c r="FA6" s="3555"/>
      <c r="FB6" s="3555"/>
      <c r="FC6" s="3555"/>
      <c r="FD6" s="3555"/>
      <c r="FE6" s="3555"/>
      <c r="FF6" s="3555"/>
      <c r="FG6" s="3555"/>
      <c r="FH6" s="3555"/>
      <c r="FI6" s="3555"/>
      <c r="FJ6" s="3555"/>
      <c r="FK6" s="3555"/>
      <c r="FL6" s="3555"/>
      <c r="FM6" s="3555"/>
      <c r="FN6" s="3555"/>
      <c r="FO6" s="3555"/>
      <c r="FP6" s="3555"/>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55"/>
      <c r="MK6" s="3595" t="s">
        <v>3040</v>
      </c>
      <c r="ML6" s="3595" t="s">
        <v>3041</v>
      </c>
      <c r="MM6" s="3595" t="s">
        <v>3042</v>
      </c>
      <c r="MN6" s="3595" t="s">
        <v>3043</v>
      </c>
      <c r="MO6" s="3595" t="s">
        <v>3044</v>
      </c>
      <c r="MP6" s="3555" t="s">
        <v>6279</v>
      </c>
      <c r="MQ6" s="3555" t="s">
        <v>6280</v>
      </c>
      <c r="MR6" s="3555" t="s">
        <v>6281</v>
      </c>
      <c r="MS6" s="3555" t="s">
        <v>6282</v>
      </c>
      <c r="MT6" s="3555"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3"/>
      <c r="B7" s="23" t="s">
        <v>6094</v>
      </c>
      <c r="E7" s="4"/>
      <c r="G7" s="1246" t="s">
        <v>2652</v>
      </c>
      <c r="I7" s="3588" t="s">
        <v>4069</v>
      </c>
      <c r="J7" s="686" t="s">
        <v>742</v>
      </c>
      <c r="K7" s="686" t="s">
        <v>3182</v>
      </c>
      <c r="L7" s="3557"/>
      <c r="M7" s="3557"/>
      <c r="N7" s="3557"/>
      <c r="O7" s="1718" t="s">
        <v>6074</v>
      </c>
      <c r="P7" s="1543" t="s">
        <v>7103</v>
      </c>
      <c r="Q7" s="3623"/>
      <c r="R7" s="3592" t="s">
        <v>2457</v>
      </c>
      <c r="S7" s="3592"/>
      <c r="X7" s="3555"/>
      <c r="Y7" s="3555"/>
      <c r="Z7" s="3555"/>
      <c r="AA7" s="3555"/>
      <c r="AB7" s="3555"/>
      <c r="AC7" s="3555"/>
      <c r="AD7" s="3555"/>
      <c r="AE7" s="3555"/>
      <c r="AF7" s="3555"/>
      <c r="AG7" s="3555"/>
      <c r="AH7" s="3555"/>
      <c r="AI7" s="3555"/>
      <c r="AJ7" s="3555"/>
      <c r="AK7" s="3555"/>
      <c r="AL7" s="3555"/>
      <c r="AM7" s="3555"/>
      <c r="AN7" s="3555"/>
      <c r="AO7" s="3555"/>
      <c r="AP7" s="3555"/>
      <c r="AQ7" s="3555"/>
      <c r="AR7" s="3555"/>
      <c r="AS7" s="3555"/>
      <c r="AT7" s="3555"/>
      <c r="AU7" s="3555"/>
      <c r="AV7" s="3555"/>
      <c r="AW7" s="3555"/>
      <c r="AX7" s="3555"/>
      <c r="AY7" s="3555"/>
      <c r="AZ7" s="3555"/>
      <c r="BA7" s="3555"/>
      <c r="BB7" s="3555"/>
      <c r="BC7" s="3555"/>
      <c r="BD7" s="3555"/>
      <c r="BE7" s="3555"/>
      <c r="BF7" s="3555"/>
      <c r="BG7" s="3555"/>
      <c r="BH7" s="3555"/>
      <c r="BI7" s="3555"/>
      <c r="BJ7" s="3555"/>
      <c r="BK7" s="3555"/>
      <c r="BL7" s="3555"/>
      <c r="BM7" s="3555"/>
      <c r="BN7" s="3555"/>
      <c r="BO7" s="3555"/>
      <c r="BP7" s="3555"/>
      <c r="BQ7" s="3555"/>
      <c r="BR7" s="3555"/>
      <c r="BS7" s="3555"/>
      <c r="BT7" s="3555"/>
      <c r="BU7" s="3555"/>
      <c r="BV7" s="3555"/>
      <c r="BW7" s="3555"/>
      <c r="BX7" s="3555"/>
      <c r="BY7" s="3555"/>
      <c r="BZ7" s="3555"/>
      <c r="CA7" s="3555"/>
      <c r="CB7" s="3555"/>
      <c r="CC7" s="3555"/>
      <c r="CD7" s="3555"/>
      <c r="CE7" s="3555"/>
      <c r="CF7" s="3555"/>
      <c r="CG7" s="3555"/>
      <c r="CH7" s="3555"/>
      <c r="CI7" s="3555"/>
      <c r="CJ7" s="3555"/>
      <c r="CK7" s="3555"/>
      <c r="CL7" s="3555"/>
      <c r="CM7" s="3555"/>
      <c r="CN7" s="3555"/>
      <c r="CO7" s="3555"/>
      <c r="CP7" s="3555"/>
      <c r="CQ7" s="3555"/>
      <c r="CR7" s="3555"/>
      <c r="CS7" s="3555"/>
      <c r="CT7" s="3555"/>
      <c r="CU7" s="3555"/>
      <c r="CV7" s="3555"/>
      <c r="CW7" s="3555"/>
      <c r="CX7" s="3555"/>
      <c r="CY7" s="3555"/>
      <c r="CZ7" s="3555"/>
      <c r="DA7" s="3555"/>
      <c r="DB7" s="3555"/>
      <c r="DC7" s="3555"/>
      <c r="DD7" s="3555"/>
      <c r="DE7" s="3555"/>
      <c r="DF7" s="3555"/>
      <c r="DG7" s="3555"/>
      <c r="DH7" s="3555"/>
      <c r="DI7" s="3555"/>
      <c r="DJ7" s="3555"/>
      <c r="DK7" s="3555"/>
      <c r="DL7" s="3555"/>
      <c r="DM7" s="3555"/>
      <c r="DN7" s="3555"/>
      <c r="DO7" s="3555"/>
      <c r="DP7" s="3555"/>
      <c r="DQ7" s="3555"/>
      <c r="DR7" s="3555"/>
      <c r="DS7" s="3555"/>
      <c r="DT7" s="3555"/>
      <c r="DU7" s="3555"/>
      <c r="DV7" s="3555"/>
      <c r="DW7" s="3555"/>
      <c r="DX7" s="3555"/>
      <c r="DY7" s="3555"/>
      <c r="DZ7" s="3555"/>
      <c r="EA7" s="3555"/>
      <c r="EB7" s="3555"/>
      <c r="EC7" s="3555"/>
      <c r="ED7" s="3555"/>
      <c r="EE7" s="3555"/>
      <c r="EF7" s="3555"/>
      <c r="EG7" s="3555"/>
      <c r="EH7" s="3555"/>
      <c r="EI7" s="3555"/>
      <c r="EJ7" s="3555"/>
      <c r="EK7" s="3555"/>
      <c r="EL7" s="3555"/>
      <c r="EM7" s="3555"/>
      <c r="EN7" s="3555"/>
      <c r="EO7" s="3555"/>
      <c r="EP7" s="3555"/>
      <c r="EQ7" s="3555"/>
      <c r="ER7" s="3555"/>
      <c r="ES7" s="3555"/>
      <c r="ET7" s="3555"/>
      <c r="EU7" s="3555"/>
      <c r="EV7" s="3555"/>
      <c r="EW7" s="3555"/>
      <c r="EX7" s="3555"/>
      <c r="EY7" s="3555"/>
      <c r="EZ7" s="3555"/>
      <c r="FA7" s="3555"/>
      <c r="FB7" s="3555"/>
      <c r="FC7" s="3555"/>
      <c r="FD7" s="3555"/>
      <c r="FE7" s="3555"/>
      <c r="FF7" s="3555"/>
      <c r="FG7" s="3555"/>
      <c r="FH7" s="3555"/>
      <c r="FI7" s="3555"/>
      <c r="FJ7" s="3555"/>
      <c r="FK7" s="3555"/>
      <c r="FL7" s="3555"/>
      <c r="FM7" s="3555"/>
      <c r="FN7" s="3555"/>
      <c r="FO7" s="3555"/>
      <c r="FP7" s="3555"/>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55"/>
      <c r="MK7" s="3595"/>
      <c r="ML7" s="3595"/>
      <c r="MM7" s="3595"/>
      <c r="MN7" s="3595"/>
      <c r="MO7" s="3595"/>
      <c r="MP7" s="3555"/>
      <c r="MQ7" s="3555"/>
      <c r="MR7" s="3555"/>
      <c r="MS7" s="3555"/>
      <c r="MT7" s="355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3"/>
      <c r="B8" s="831" t="s">
        <v>3762</v>
      </c>
      <c r="C8" s="1"/>
      <c r="E8" s="1"/>
      <c r="F8" s="1"/>
      <c r="I8" s="3588"/>
      <c r="J8" s="686" t="s">
        <v>743</v>
      </c>
      <c r="K8" s="686" t="s">
        <v>3183</v>
      </c>
      <c r="L8" s="667"/>
      <c r="M8" s="667"/>
      <c r="N8" s="1716" t="s">
        <v>6478</v>
      </c>
      <c r="O8" s="3590" t="s">
        <v>7104</v>
      </c>
      <c r="P8" s="3591"/>
      <c r="Q8" s="3623"/>
      <c r="R8" s="668"/>
      <c r="S8" s="670" t="s">
        <v>2454</v>
      </c>
      <c r="T8" s="337"/>
      <c r="W8" s="338"/>
      <c r="X8" s="3555"/>
      <c r="Y8" s="3555"/>
      <c r="Z8" s="3555"/>
      <c r="AA8" s="3555"/>
      <c r="AB8" s="3555"/>
      <c r="AC8" s="3555"/>
      <c r="AD8" s="3555"/>
      <c r="AE8" s="3555"/>
      <c r="AF8" s="3555"/>
      <c r="AG8" s="3555"/>
      <c r="AH8" s="3555"/>
      <c r="AI8" s="3555"/>
      <c r="AJ8" s="3555"/>
      <c r="AK8" s="3555"/>
      <c r="AL8" s="3555"/>
      <c r="AM8" s="3555"/>
      <c r="AN8" s="3555"/>
      <c r="AO8" s="3555"/>
      <c r="AP8" s="3555"/>
      <c r="AQ8" s="3555"/>
      <c r="AR8" s="3555"/>
      <c r="AS8" s="3555"/>
      <c r="AT8" s="3555"/>
      <c r="AU8" s="3555"/>
      <c r="AV8" s="3555"/>
      <c r="AW8" s="3555"/>
      <c r="AX8" s="3555"/>
      <c r="AY8" s="3555"/>
      <c r="AZ8" s="3555"/>
      <c r="BA8" s="3555"/>
      <c r="BB8" s="3555"/>
      <c r="BC8" s="3555"/>
      <c r="BD8" s="3555"/>
      <c r="BE8" s="3555"/>
      <c r="BF8" s="3555"/>
      <c r="BG8" s="3555"/>
      <c r="BH8" s="3555"/>
      <c r="BI8" s="3555"/>
      <c r="BJ8" s="3555"/>
      <c r="BK8" s="3555"/>
      <c r="BL8" s="3555"/>
      <c r="BM8" s="3555"/>
      <c r="BN8" s="3555"/>
      <c r="BO8" s="3555"/>
      <c r="BP8" s="3555"/>
      <c r="BQ8" s="3555"/>
      <c r="BR8" s="3555"/>
      <c r="BS8" s="3555"/>
      <c r="BT8" s="3555"/>
      <c r="BU8" s="3555"/>
      <c r="BV8" s="3555"/>
      <c r="BW8" s="3555"/>
      <c r="BX8" s="3555"/>
      <c r="BY8" s="3555"/>
      <c r="BZ8" s="3555"/>
      <c r="CA8" s="3555"/>
      <c r="CB8" s="3555"/>
      <c r="CC8" s="3555"/>
      <c r="CD8" s="3555"/>
      <c r="CE8" s="3555"/>
      <c r="CF8" s="3555"/>
      <c r="CG8" s="3555"/>
      <c r="CH8" s="3555"/>
      <c r="CI8" s="3555"/>
      <c r="CJ8" s="3555"/>
      <c r="CK8" s="3555"/>
      <c r="CL8" s="3555"/>
      <c r="CM8" s="3555"/>
      <c r="CN8" s="3555"/>
      <c r="CO8" s="3555"/>
      <c r="CP8" s="3555"/>
      <c r="CQ8" s="3555"/>
      <c r="CR8" s="3555"/>
      <c r="CS8" s="3555"/>
      <c r="CT8" s="3555"/>
      <c r="CU8" s="3555"/>
      <c r="CV8" s="3555"/>
      <c r="CW8" s="3555"/>
      <c r="CX8" s="3555"/>
      <c r="CY8" s="3555"/>
      <c r="CZ8" s="3555"/>
      <c r="DA8" s="3555"/>
      <c r="DB8" s="3555"/>
      <c r="DC8" s="3555"/>
      <c r="DD8" s="3555"/>
      <c r="DE8" s="3555"/>
      <c r="DF8" s="3555"/>
      <c r="DG8" s="3555"/>
      <c r="DH8" s="3555"/>
      <c r="DI8" s="3555"/>
      <c r="DJ8" s="3555"/>
      <c r="DK8" s="3555"/>
      <c r="DL8" s="3555"/>
      <c r="DM8" s="3555"/>
      <c r="DN8" s="3555"/>
      <c r="DO8" s="3555"/>
      <c r="DP8" s="3555"/>
      <c r="DQ8" s="3555"/>
      <c r="DR8" s="3555"/>
      <c r="DS8" s="3555"/>
      <c r="DT8" s="3555"/>
      <c r="DU8" s="3555"/>
      <c r="DV8" s="3555"/>
      <c r="DW8" s="3555"/>
      <c r="DX8" s="3555"/>
      <c r="DY8" s="3555"/>
      <c r="DZ8" s="3555"/>
      <c r="EA8" s="3555"/>
      <c r="EB8" s="3555"/>
      <c r="EC8" s="3555"/>
      <c r="ED8" s="3555"/>
      <c r="EE8" s="3555"/>
      <c r="EF8" s="3555"/>
      <c r="EG8" s="3555"/>
      <c r="EH8" s="3555"/>
      <c r="EI8" s="3555"/>
      <c r="EJ8" s="3555"/>
      <c r="EK8" s="3555"/>
      <c r="EL8" s="3555"/>
      <c r="EM8" s="3555"/>
      <c r="EN8" s="3555"/>
      <c r="EO8" s="3555"/>
      <c r="EP8" s="3555"/>
      <c r="EQ8" s="3555"/>
      <c r="ER8" s="3555"/>
      <c r="ES8" s="3555"/>
      <c r="ET8" s="3555"/>
      <c r="EU8" s="3555"/>
      <c r="EV8" s="3555"/>
      <c r="EW8" s="3555"/>
      <c r="EX8" s="3555"/>
      <c r="EY8" s="3555"/>
      <c r="EZ8" s="3555"/>
      <c r="FA8" s="3555"/>
      <c r="FB8" s="3555"/>
      <c r="FC8" s="3555"/>
      <c r="FD8" s="3555"/>
      <c r="FE8" s="3555"/>
      <c r="FF8" s="3555"/>
      <c r="FG8" s="3555"/>
      <c r="FH8" s="3555"/>
      <c r="FI8" s="3555"/>
      <c r="FJ8" s="3555"/>
      <c r="FK8" s="3555"/>
      <c r="FL8" s="3555"/>
      <c r="FM8" s="3555"/>
      <c r="FN8" s="3555"/>
      <c r="FO8" s="3555"/>
      <c r="FP8" s="3555"/>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55"/>
      <c r="MK8" s="3595"/>
      <c r="ML8" s="3595"/>
      <c r="MM8" s="3595"/>
      <c r="MN8" s="3595"/>
      <c r="MO8" s="3595"/>
      <c r="MP8" s="3555"/>
      <c r="MQ8" s="3555"/>
      <c r="MR8" s="3555"/>
      <c r="MS8" s="3555"/>
      <c r="MT8" s="355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3"/>
      <c r="B9" s="1109" t="s">
        <v>3763</v>
      </c>
      <c r="C9" s="686" t="s">
        <v>165</v>
      </c>
      <c r="D9" s="686" t="s">
        <v>510</v>
      </c>
      <c r="E9" s="686" t="s">
        <v>1382</v>
      </c>
      <c r="F9" s="686" t="s">
        <v>1382</v>
      </c>
      <c r="G9" s="3588" t="s">
        <v>6090</v>
      </c>
      <c r="H9" s="830" t="s">
        <v>3300</v>
      </c>
      <c r="I9" s="3588"/>
      <c r="J9" s="3584" t="s">
        <v>6084</v>
      </c>
      <c r="K9" s="686" t="s">
        <v>2217</v>
      </c>
      <c r="L9" s="3593" t="s">
        <v>139</v>
      </c>
      <c r="M9" s="3594"/>
      <c r="N9" s="686" t="s">
        <v>2184</v>
      </c>
      <c r="O9" s="686" t="s">
        <v>6481</v>
      </c>
      <c r="P9" s="3586" t="s">
        <v>6243</v>
      </c>
      <c r="Q9" s="3623"/>
      <c r="R9" s="686" t="s">
        <v>2453</v>
      </c>
      <c r="S9" s="686" t="s">
        <v>2455</v>
      </c>
      <c r="T9" s="339"/>
      <c r="W9" s="340"/>
      <c r="X9" s="3555"/>
      <c r="Y9" s="3555"/>
      <c r="Z9" s="3555"/>
      <c r="AA9" s="3555"/>
      <c r="AB9" s="3555"/>
      <c r="AC9" s="3555"/>
      <c r="AD9" s="3555"/>
      <c r="AE9" s="3555"/>
      <c r="AF9" s="3555"/>
      <c r="AG9" s="3555"/>
      <c r="AH9" s="3555"/>
      <c r="AI9" s="3555"/>
      <c r="AJ9" s="3555"/>
      <c r="AK9" s="3555"/>
      <c r="AL9" s="3555"/>
      <c r="AM9" s="3555"/>
      <c r="AN9" s="3555"/>
      <c r="AO9" s="3555"/>
      <c r="AP9" s="3555"/>
      <c r="AQ9" s="3555"/>
      <c r="AR9" s="3555"/>
      <c r="AS9" s="3555"/>
      <c r="AT9" s="3555"/>
      <c r="AU9" s="3555"/>
      <c r="AV9" s="3555"/>
      <c r="AW9" s="3555"/>
      <c r="AX9" s="3555"/>
      <c r="AY9" s="3555"/>
      <c r="AZ9" s="3555"/>
      <c r="BA9" s="3555"/>
      <c r="BB9" s="3555"/>
      <c r="BC9" s="3555"/>
      <c r="BD9" s="3555"/>
      <c r="BE9" s="3555"/>
      <c r="BF9" s="3555"/>
      <c r="BG9" s="3555"/>
      <c r="BH9" s="3555"/>
      <c r="BI9" s="3555"/>
      <c r="BJ9" s="3555"/>
      <c r="BK9" s="3555"/>
      <c r="BL9" s="3555"/>
      <c r="BM9" s="3555"/>
      <c r="BN9" s="3555"/>
      <c r="BO9" s="3555"/>
      <c r="BP9" s="3555"/>
      <c r="BQ9" s="3555"/>
      <c r="BR9" s="3555"/>
      <c r="BS9" s="3555"/>
      <c r="BT9" s="3555"/>
      <c r="BU9" s="3555"/>
      <c r="BV9" s="3555"/>
      <c r="BW9" s="3555"/>
      <c r="BX9" s="3555"/>
      <c r="BY9" s="3555"/>
      <c r="BZ9" s="3555"/>
      <c r="CA9" s="3555"/>
      <c r="CB9" s="3555"/>
      <c r="CC9" s="3555"/>
      <c r="CD9" s="3555"/>
      <c r="CE9" s="3555"/>
      <c r="CF9" s="3555"/>
      <c r="CG9" s="3555"/>
      <c r="CH9" s="3555"/>
      <c r="CI9" s="3555"/>
      <c r="CJ9" s="3555"/>
      <c r="CK9" s="3555"/>
      <c r="CL9" s="3555"/>
      <c r="CM9" s="3555"/>
      <c r="CN9" s="3555"/>
      <c r="CO9" s="3555"/>
      <c r="CP9" s="3555"/>
      <c r="CQ9" s="3555"/>
      <c r="CR9" s="3555"/>
      <c r="CS9" s="3555"/>
      <c r="CT9" s="3555"/>
      <c r="CU9" s="3555"/>
      <c r="CV9" s="3555"/>
      <c r="CW9" s="3555"/>
      <c r="CX9" s="3555"/>
      <c r="CY9" s="3555"/>
      <c r="CZ9" s="3555"/>
      <c r="DA9" s="3555"/>
      <c r="DB9" s="3555"/>
      <c r="DC9" s="3555"/>
      <c r="DD9" s="3555"/>
      <c r="DE9" s="3555"/>
      <c r="DF9" s="3555"/>
      <c r="DG9" s="3555"/>
      <c r="DH9" s="3555"/>
      <c r="DI9" s="3555"/>
      <c r="DJ9" s="3555"/>
      <c r="DK9" s="3555"/>
      <c r="DL9" s="3555"/>
      <c r="DM9" s="3555"/>
      <c r="DN9" s="3555"/>
      <c r="DO9" s="3555"/>
      <c r="DP9" s="3555"/>
      <c r="DQ9" s="3555"/>
      <c r="DR9" s="3555"/>
      <c r="DS9" s="3555"/>
      <c r="DT9" s="3555"/>
      <c r="DU9" s="3555"/>
      <c r="DV9" s="3555"/>
      <c r="DW9" s="3555"/>
      <c r="DX9" s="3555"/>
      <c r="DY9" s="3555"/>
      <c r="DZ9" s="3555"/>
      <c r="EA9" s="3555"/>
      <c r="EB9" s="3555"/>
      <c r="EC9" s="3555"/>
      <c r="ED9" s="3555"/>
      <c r="EE9" s="3555"/>
      <c r="EF9" s="3555"/>
      <c r="EG9" s="3555"/>
      <c r="EH9" s="3555"/>
      <c r="EI9" s="3555"/>
      <c r="EJ9" s="3555"/>
      <c r="EK9" s="3555"/>
      <c r="EL9" s="3555"/>
      <c r="EM9" s="3555"/>
      <c r="EN9" s="3555"/>
      <c r="EO9" s="3555"/>
      <c r="EP9" s="3555"/>
      <c r="EQ9" s="3555"/>
      <c r="ER9" s="3555"/>
      <c r="ES9" s="3555"/>
      <c r="ET9" s="3555"/>
      <c r="EU9" s="3555"/>
      <c r="EV9" s="3555"/>
      <c r="EW9" s="3555"/>
      <c r="EX9" s="3555"/>
      <c r="EY9" s="3555"/>
      <c r="EZ9" s="3555"/>
      <c r="FA9" s="3555"/>
      <c r="FB9" s="3555"/>
      <c r="FC9" s="3555"/>
      <c r="FD9" s="3555"/>
      <c r="FE9" s="3555"/>
      <c r="FF9" s="3555"/>
      <c r="FG9" s="3555"/>
      <c r="FH9" s="3555"/>
      <c r="FI9" s="3555"/>
      <c r="FJ9" s="3555"/>
      <c r="FK9" s="3555"/>
      <c r="FL9" s="3555"/>
      <c r="FM9" s="3555"/>
      <c r="FN9" s="3555"/>
      <c r="FO9" s="3555"/>
      <c r="FP9" s="3555"/>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t="s">
        <v>1371</v>
      </c>
      <c r="IA9" s="1884" t="s">
        <v>2245</v>
      </c>
      <c r="IB9" s="1884" t="s">
        <v>2246</v>
      </c>
      <c r="IC9" s="1884" t="s">
        <v>2247</v>
      </c>
      <c r="ID9" s="1884" t="s">
        <v>2248</v>
      </c>
      <c r="IE9" s="3555" t="s">
        <v>2299</v>
      </c>
      <c r="IF9" s="3555" t="s">
        <v>2299</v>
      </c>
      <c r="IG9" s="3555" t="s">
        <v>2299</v>
      </c>
      <c r="IH9" s="3555" t="s">
        <v>2299</v>
      </c>
      <c r="II9" s="3555" t="s">
        <v>2299</v>
      </c>
      <c r="IJ9" s="3555" t="s">
        <v>3000</v>
      </c>
      <c r="IK9" s="3555" t="s">
        <v>3000</v>
      </c>
      <c r="IL9" s="3555" t="s">
        <v>3000</v>
      </c>
      <c r="IM9" s="3555" t="s">
        <v>3000</v>
      </c>
      <c r="IN9" s="3555" t="s">
        <v>3000</v>
      </c>
      <c r="IO9" s="1884" t="s">
        <v>526</v>
      </c>
      <c r="IP9" s="1884" t="s">
        <v>2245</v>
      </c>
      <c r="IQ9" s="1884" t="s">
        <v>2246</v>
      </c>
      <c r="IR9" s="1884" t="s">
        <v>2247</v>
      </c>
      <c r="IS9" s="1884" t="s">
        <v>2248</v>
      </c>
      <c r="IT9" s="1884" t="s">
        <v>526</v>
      </c>
      <c r="IU9" s="1884" t="s">
        <v>2245</v>
      </c>
      <c r="IV9" s="1884" t="s">
        <v>2246</v>
      </c>
      <c r="IW9" s="1884" t="s">
        <v>2247</v>
      </c>
      <c r="IX9" s="1884" t="s">
        <v>2248</v>
      </c>
      <c r="IY9" s="3555" t="s">
        <v>6284</v>
      </c>
      <c r="IZ9" s="3555" t="s">
        <v>6284</v>
      </c>
      <c r="JA9" s="3555" t="s">
        <v>6284</v>
      </c>
      <c r="JB9" s="3555" t="s">
        <v>6284</v>
      </c>
      <c r="JC9" s="3555" t="s">
        <v>6284</v>
      </c>
      <c r="JD9" s="3555" t="s">
        <v>6285</v>
      </c>
      <c r="JE9" s="3555" t="s">
        <v>6285</v>
      </c>
      <c r="JF9" s="3555" t="s">
        <v>6285</v>
      </c>
      <c r="JG9" s="3555" t="s">
        <v>6285</v>
      </c>
      <c r="JH9" s="3555" t="s">
        <v>6285</v>
      </c>
      <c r="JI9" s="3555" t="s">
        <v>6287</v>
      </c>
      <c r="JJ9" s="3555" t="s">
        <v>6287</v>
      </c>
      <c r="JK9" s="3555" t="s">
        <v>6287</v>
      </c>
      <c r="JL9" s="3555" t="s">
        <v>6287</v>
      </c>
      <c r="JM9" s="3555" t="s">
        <v>6287</v>
      </c>
      <c r="JN9" s="3555" t="s">
        <v>6288</v>
      </c>
      <c r="JO9" s="3555" t="s">
        <v>6288</v>
      </c>
      <c r="JP9" s="3555" t="s">
        <v>6288</v>
      </c>
      <c r="JQ9" s="3555" t="s">
        <v>6288</v>
      </c>
      <c r="JR9" s="3555" t="s">
        <v>6288</v>
      </c>
      <c r="JS9" s="3555" t="s">
        <v>6289</v>
      </c>
      <c r="JT9" s="3555" t="s">
        <v>6289</v>
      </c>
      <c r="JU9" s="3555" t="s">
        <v>6289</v>
      </c>
      <c r="JV9" s="3555" t="s">
        <v>6289</v>
      </c>
      <c r="JW9" s="3555" t="s">
        <v>6289</v>
      </c>
      <c r="JX9" s="3555" t="s">
        <v>6482</v>
      </c>
      <c r="JY9" s="3555" t="s">
        <v>6482</v>
      </c>
      <c r="JZ9" s="3555" t="s">
        <v>6482</v>
      </c>
      <c r="KA9" s="3555" t="s">
        <v>6482</v>
      </c>
      <c r="KB9" s="3555" t="s">
        <v>6482</v>
      </c>
      <c r="KC9" s="3555" t="s">
        <v>6647</v>
      </c>
      <c r="KD9" s="3555" t="s">
        <v>6647</v>
      </c>
      <c r="KE9" s="3555" t="s">
        <v>6647</v>
      </c>
      <c r="KF9" s="3555" t="s">
        <v>6647</v>
      </c>
      <c r="KG9" s="3555" t="s">
        <v>6647</v>
      </c>
      <c r="KH9" s="3555" t="s">
        <v>6648</v>
      </c>
      <c r="KI9" s="3555" t="s">
        <v>6648</v>
      </c>
      <c r="KJ9" s="3555" t="s">
        <v>6648</v>
      </c>
      <c r="KK9" s="3555" t="s">
        <v>6648</v>
      </c>
      <c r="KL9" s="3555" t="s">
        <v>6648</v>
      </c>
      <c r="KM9" s="3555" t="s">
        <v>6291</v>
      </c>
      <c r="KN9" s="3555" t="s">
        <v>6291</v>
      </c>
      <c r="KO9" s="3555" t="s">
        <v>6291</v>
      </c>
      <c r="KP9" s="3555" t="s">
        <v>6291</v>
      </c>
      <c r="KQ9" s="3555" t="s">
        <v>6291</v>
      </c>
      <c r="KR9" s="3555" t="s">
        <v>6483</v>
      </c>
      <c r="KS9" s="3555" t="s">
        <v>6483</v>
      </c>
      <c r="KT9" s="3555" t="s">
        <v>6483</v>
      </c>
      <c r="KU9" s="3555" t="s">
        <v>6483</v>
      </c>
      <c r="KV9" s="3555" t="s">
        <v>6483</v>
      </c>
      <c r="KW9" s="3555" t="s">
        <v>6649</v>
      </c>
      <c r="KX9" s="3555" t="s">
        <v>6649</v>
      </c>
      <c r="KY9" s="3555" t="s">
        <v>6649</v>
      </c>
      <c r="KZ9" s="3555" t="s">
        <v>6649</v>
      </c>
      <c r="LA9" s="3555" t="s">
        <v>6649</v>
      </c>
      <c r="LB9" s="3555" t="s">
        <v>6650</v>
      </c>
      <c r="LC9" s="3555" t="s">
        <v>6650</v>
      </c>
      <c r="LD9" s="3555" t="s">
        <v>6650</v>
      </c>
      <c r="LE9" s="3555" t="s">
        <v>6650</v>
      </c>
      <c r="LF9" s="3555" t="s">
        <v>6650</v>
      </c>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95"/>
      <c r="ML9" s="3595"/>
      <c r="MM9" s="3595"/>
      <c r="MN9" s="3595"/>
      <c r="MO9" s="3595"/>
      <c r="MP9" s="3555"/>
      <c r="MQ9" s="3555"/>
      <c r="MR9" s="3555"/>
      <c r="MS9" s="3555"/>
      <c r="MT9" s="355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3"/>
      <c r="B10" s="1264" t="s">
        <v>3930</v>
      </c>
      <c r="C10" s="686" t="s">
        <v>164</v>
      </c>
      <c r="D10" s="686" t="s">
        <v>166</v>
      </c>
      <c r="E10" s="686" t="s">
        <v>1383</v>
      </c>
      <c r="F10" s="686" t="s">
        <v>1203</v>
      </c>
      <c r="G10" s="3589"/>
      <c r="H10" s="686" t="s">
        <v>6091</v>
      </c>
      <c r="I10" s="3589"/>
      <c r="J10" s="3585"/>
      <c r="K10" s="358" t="s">
        <v>334</v>
      </c>
      <c r="L10" s="686" t="s">
        <v>1432</v>
      </c>
      <c r="M10" s="686" t="s">
        <v>504</v>
      </c>
      <c r="N10" s="686" t="s">
        <v>1382</v>
      </c>
      <c r="O10" s="686" t="s">
        <v>6495</v>
      </c>
      <c r="P10" s="3587"/>
      <c r="Q10" s="3624"/>
      <c r="R10" s="686" t="s">
        <v>1384</v>
      </c>
      <c r="S10" s="686" t="s">
        <v>2456</v>
      </c>
      <c r="T10" s="10" t="s">
        <v>1711</v>
      </c>
      <c r="W10" s="10"/>
      <c r="X10" s="3555"/>
      <c r="Y10" s="3555"/>
      <c r="Z10" s="3555"/>
      <c r="AA10" s="3555"/>
      <c r="AB10" s="3555"/>
      <c r="AC10" s="3555"/>
      <c r="AD10" s="3555"/>
      <c r="AE10" s="3555"/>
      <c r="AF10" s="3555"/>
      <c r="AG10" s="3555"/>
      <c r="AH10" s="3555"/>
      <c r="AI10" s="3555"/>
      <c r="AJ10" s="3555"/>
      <c r="AK10" s="3555"/>
      <c r="AL10" s="3555"/>
      <c r="AM10" s="3555"/>
      <c r="AN10" s="3555"/>
      <c r="AO10" s="3555"/>
      <c r="AP10" s="3555"/>
      <c r="AQ10" s="3555"/>
      <c r="AR10" s="3555"/>
      <c r="AS10" s="3555"/>
      <c r="AT10" s="3555"/>
      <c r="AU10" s="3555"/>
      <c r="AV10" s="3555"/>
      <c r="AW10" s="3555"/>
      <c r="AX10" s="3555"/>
      <c r="AY10" s="3555"/>
      <c r="AZ10" s="3555"/>
      <c r="BA10" s="3555"/>
      <c r="BB10" s="3555"/>
      <c r="BC10" s="3555"/>
      <c r="BD10" s="3555"/>
      <c r="BE10" s="3555"/>
      <c r="BF10" s="3555"/>
      <c r="BG10" s="3555"/>
      <c r="BH10" s="3555"/>
      <c r="BI10" s="3555"/>
      <c r="BJ10" s="3555"/>
      <c r="BK10" s="3555"/>
      <c r="BL10" s="3555"/>
      <c r="BM10" s="3555"/>
      <c r="BN10" s="3555"/>
      <c r="BO10" s="3555"/>
      <c r="BP10" s="3555"/>
      <c r="BQ10" s="3555"/>
      <c r="BR10" s="3555"/>
      <c r="BS10" s="3555"/>
      <c r="BT10" s="3555"/>
      <c r="BU10" s="3555"/>
      <c r="BV10" s="3555"/>
      <c r="BW10" s="3555"/>
      <c r="BX10" s="3555"/>
      <c r="BY10" s="3555"/>
      <c r="BZ10" s="3555"/>
      <c r="CA10" s="3555"/>
      <c r="CB10" s="3555"/>
      <c r="CC10" s="3555"/>
      <c r="CD10" s="3555"/>
      <c r="CE10" s="3555"/>
      <c r="CF10" s="3555"/>
      <c r="CG10" s="3555"/>
      <c r="CH10" s="3555"/>
      <c r="CI10" s="3555"/>
      <c r="CJ10" s="3555"/>
      <c r="CK10" s="3555"/>
      <c r="CL10" s="3555"/>
      <c r="CM10" s="3555"/>
      <c r="CN10" s="3555"/>
      <c r="CO10" s="3555"/>
      <c r="CP10" s="3555"/>
      <c r="CQ10" s="3555"/>
      <c r="CR10" s="3555"/>
      <c r="CS10" s="3555"/>
      <c r="CT10" s="3555"/>
      <c r="CU10" s="3555"/>
      <c r="CV10" s="3555"/>
      <c r="CW10" s="3555"/>
      <c r="CX10" s="3555"/>
      <c r="CY10" s="3555"/>
      <c r="CZ10" s="3555"/>
      <c r="DA10" s="3555"/>
      <c r="DB10" s="3555"/>
      <c r="DC10" s="3555"/>
      <c r="DD10" s="3555"/>
      <c r="DE10" s="3555"/>
      <c r="DF10" s="3555"/>
      <c r="DG10" s="3555"/>
      <c r="DH10" s="3555"/>
      <c r="DI10" s="3555"/>
      <c r="DJ10" s="3555"/>
      <c r="DK10" s="3555"/>
      <c r="DL10" s="3555"/>
      <c r="DM10" s="3555"/>
      <c r="DN10" s="3555"/>
      <c r="DO10" s="3555"/>
      <c r="DP10" s="3555"/>
      <c r="DQ10" s="3555"/>
      <c r="DR10" s="3555"/>
      <c r="DS10" s="3555"/>
      <c r="DT10" s="3555"/>
      <c r="DU10" s="3555"/>
      <c r="DV10" s="3555"/>
      <c r="DW10" s="3555"/>
      <c r="DX10" s="3555"/>
      <c r="DY10" s="3555"/>
      <c r="DZ10" s="3555"/>
      <c r="EA10" s="3555"/>
      <c r="EB10" s="3555"/>
      <c r="EC10" s="3555"/>
      <c r="ED10" s="3555"/>
      <c r="EE10" s="3555"/>
      <c r="EF10" s="3555"/>
      <c r="EG10" s="3555"/>
      <c r="EH10" s="3555"/>
      <c r="EI10" s="3555"/>
      <c r="EJ10" s="3555"/>
      <c r="EK10" s="3555"/>
      <c r="EL10" s="3555"/>
      <c r="EM10" s="3555"/>
      <c r="EN10" s="3555"/>
      <c r="EO10" s="3555"/>
      <c r="EP10" s="3555"/>
      <c r="EQ10" s="3555"/>
      <c r="ER10" s="3555"/>
      <c r="ES10" s="3555"/>
      <c r="ET10" s="3555"/>
      <c r="EU10" s="3555"/>
      <c r="EV10" s="3555"/>
      <c r="EW10" s="3555"/>
      <c r="EX10" s="3555"/>
      <c r="EY10" s="3555"/>
      <c r="EZ10" s="3555"/>
      <c r="FA10" s="3555"/>
      <c r="FB10" s="3555"/>
      <c r="FC10" s="3555"/>
      <c r="FD10" s="3555"/>
      <c r="FE10" s="3555"/>
      <c r="FF10" s="3555"/>
      <c r="FG10" s="3555"/>
      <c r="FH10" s="3555"/>
      <c r="FI10" s="3555"/>
      <c r="FJ10" s="3555"/>
      <c r="FK10" s="3555"/>
      <c r="FL10" s="3555"/>
      <c r="FM10" s="3555"/>
      <c r="FN10" s="3555"/>
      <c r="FO10" s="3555"/>
      <c r="FP10" s="3555"/>
      <c r="FQ10" s="3555"/>
      <c r="FR10" s="3555"/>
      <c r="FS10" s="3555"/>
      <c r="FT10" s="3555"/>
      <c r="FU10" s="3555"/>
      <c r="FV10" s="3555"/>
      <c r="FW10" s="3555"/>
      <c r="FX10" s="3555"/>
      <c r="FY10" s="3555"/>
      <c r="FZ10" s="3555"/>
      <c r="GA10" s="3555"/>
      <c r="GB10" s="3555"/>
      <c r="GC10" s="3555"/>
      <c r="GD10" s="3555"/>
      <c r="GE10" s="3555"/>
      <c r="GF10" s="3555"/>
      <c r="GG10" s="3555"/>
      <c r="GH10" s="3555"/>
      <c r="GI10" s="3555"/>
      <c r="GJ10" s="3555"/>
      <c r="GK10" s="3555"/>
      <c r="GL10" s="3555"/>
      <c r="GM10" s="3555"/>
      <c r="GN10" s="3555"/>
      <c r="GO10" s="3555"/>
      <c r="GP10" s="3555"/>
      <c r="GQ10" s="3555"/>
      <c r="GR10" s="3555"/>
      <c r="GS10" s="3555"/>
      <c r="GT10" s="3555"/>
      <c r="GU10" s="3555"/>
      <c r="GV10" s="3555"/>
      <c r="GW10" s="3555"/>
      <c r="GX10" s="3555"/>
      <c r="GY10" s="3555"/>
      <c r="GZ10" s="3555"/>
      <c r="HA10" s="3555"/>
      <c r="HB10" s="3555"/>
      <c r="HC10" s="3555"/>
      <c r="HD10" s="3555"/>
      <c r="HE10" s="3555"/>
      <c r="HF10" s="3555"/>
      <c r="HG10" s="3555"/>
      <c r="HH10" s="3555"/>
      <c r="HI10" s="3555"/>
      <c r="HJ10" s="3555"/>
      <c r="HK10" s="3555"/>
      <c r="HL10" s="3555"/>
      <c r="HM10" s="3555"/>
      <c r="HN10" s="3555"/>
      <c r="HO10" s="3555"/>
      <c r="HP10" s="3555"/>
      <c r="HQ10" s="3555"/>
      <c r="HR10" s="3555"/>
      <c r="HS10" s="3555"/>
      <c r="HT10" s="3555"/>
      <c r="HU10" s="3555"/>
      <c r="HV10" s="3555"/>
      <c r="HW10" s="3555"/>
      <c r="HX10" s="3555"/>
      <c r="HY10" s="3555"/>
      <c r="HZ10" s="3555"/>
      <c r="IA10" s="1884" t="s">
        <v>2298</v>
      </c>
      <c r="IB10" s="1884" t="s">
        <v>2298</v>
      </c>
      <c r="IC10" s="1884" t="s">
        <v>2298</v>
      </c>
      <c r="ID10" s="1884" t="s">
        <v>2298</v>
      </c>
      <c r="IE10" s="3555"/>
      <c r="IF10" s="3555"/>
      <c r="IG10" s="3555"/>
      <c r="IH10" s="3555"/>
      <c r="II10" s="3555"/>
      <c r="IJ10" s="3555"/>
      <c r="IK10" s="3555"/>
      <c r="IL10" s="3555"/>
      <c r="IM10" s="3555"/>
      <c r="IN10" s="3555"/>
      <c r="IO10" s="1884" t="s">
        <v>2300</v>
      </c>
      <c r="IP10" s="1884" t="s">
        <v>2300</v>
      </c>
      <c r="IQ10" s="1884" t="s">
        <v>2300</v>
      </c>
      <c r="IR10" s="1884" t="s">
        <v>2300</v>
      </c>
      <c r="IS10" s="1884" t="s">
        <v>2300</v>
      </c>
      <c r="IT10" s="1884" t="s">
        <v>3001</v>
      </c>
      <c r="IU10" s="1884" t="s">
        <v>3001</v>
      </c>
      <c r="IV10" s="1884" t="s">
        <v>3001</v>
      </c>
      <c r="IW10" s="1884" t="s">
        <v>3001</v>
      </c>
      <c r="IX10" s="1884" t="s">
        <v>3001</v>
      </c>
      <c r="IY10" s="3555"/>
      <c r="IZ10" s="3555"/>
      <c r="JA10" s="3555"/>
      <c r="JB10" s="3555"/>
      <c r="JC10" s="3555"/>
      <c r="JD10" s="3555"/>
      <c r="JE10" s="3555"/>
      <c r="JF10" s="3555"/>
      <c r="JG10" s="3555"/>
      <c r="JH10" s="3555"/>
      <c r="JI10" s="3555"/>
      <c r="JJ10" s="3555"/>
      <c r="JK10" s="3555"/>
      <c r="JL10" s="3555"/>
      <c r="JM10" s="3555"/>
      <c r="JN10" s="3555"/>
      <c r="JO10" s="3555"/>
      <c r="JP10" s="3555"/>
      <c r="JQ10" s="3555"/>
      <c r="JR10" s="3555"/>
      <c r="JS10" s="3555"/>
      <c r="JT10" s="3555"/>
      <c r="JU10" s="3555"/>
      <c r="JV10" s="3555"/>
      <c r="JW10" s="3555"/>
      <c r="JX10" s="3555"/>
      <c r="JY10" s="3555"/>
      <c r="JZ10" s="3555"/>
      <c r="KA10" s="3555"/>
      <c r="KB10" s="3555"/>
      <c r="KC10" s="3555"/>
      <c r="KD10" s="3555"/>
      <c r="KE10" s="3555"/>
      <c r="KF10" s="3555"/>
      <c r="KG10" s="3555"/>
      <c r="KH10" s="3555"/>
      <c r="KI10" s="3555"/>
      <c r="KJ10" s="3555"/>
      <c r="KK10" s="3555"/>
      <c r="KL10" s="3555"/>
      <c r="KM10" s="3555"/>
      <c r="KN10" s="3555"/>
      <c r="KO10" s="3555"/>
      <c r="KP10" s="3555"/>
      <c r="KQ10" s="3555"/>
      <c r="KR10" s="3555"/>
      <c r="KS10" s="3555"/>
      <c r="KT10" s="3555"/>
      <c r="KU10" s="3555"/>
      <c r="KV10" s="3555"/>
      <c r="KW10" s="3555"/>
      <c r="KX10" s="3555"/>
      <c r="KY10" s="3555"/>
      <c r="KZ10" s="3555"/>
      <c r="LA10" s="3555"/>
      <c r="LB10" s="3555"/>
      <c r="LC10" s="3555"/>
      <c r="LD10" s="3555"/>
      <c r="LE10" s="3555"/>
      <c r="LF10" s="3555"/>
      <c r="LG10" s="3555"/>
      <c r="LH10" s="3555"/>
      <c r="LI10" s="3555"/>
      <c r="LJ10" s="3555"/>
      <c r="LK10" s="3555"/>
      <c r="LL10" s="3555"/>
      <c r="LM10" s="3555"/>
      <c r="LN10" s="3555"/>
      <c r="LO10" s="3555"/>
      <c r="LP10" s="3555"/>
      <c r="LQ10" s="3555"/>
      <c r="LR10" s="3555"/>
      <c r="LS10" s="3555"/>
      <c r="LT10" s="3555"/>
      <c r="LU10" s="3555"/>
      <c r="LV10" s="3555"/>
      <c r="LW10" s="3555"/>
      <c r="LX10" s="3555"/>
      <c r="LY10" s="3555"/>
      <c r="LZ10" s="3555"/>
      <c r="MA10" s="3555"/>
      <c r="MB10" s="3555"/>
      <c r="MC10" s="3555"/>
      <c r="MD10" s="3555"/>
      <c r="ME10" s="3555"/>
      <c r="MF10" s="3555"/>
      <c r="MG10" s="3555"/>
      <c r="MH10" s="3555"/>
      <c r="MI10" s="3555"/>
      <c r="MJ10" s="3555"/>
      <c r="MK10" s="3595"/>
      <c r="ML10" s="3595"/>
      <c r="MM10" s="3595"/>
      <c r="MN10" s="3595"/>
      <c r="MO10" s="3595"/>
      <c r="MP10" s="3555"/>
      <c r="MQ10" s="3555"/>
      <c r="MR10" s="3555"/>
      <c r="MS10" s="3555"/>
      <c r="MT10" s="355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3673</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7"/>
      <c r="U11" s="3658"/>
      <c r="V11" s="3658"/>
      <c r="W11" s="365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3673</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f t="shared" si="0"/>
        <v>1</v>
      </c>
      <c r="B13" s="1081" t="s">
        <v>290</v>
      </c>
      <c r="C13" s="132" t="s">
        <v>526</v>
      </c>
      <c r="D13" s="1751">
        <v>1</v>
      </c>
      <c r="E13" s="133">
        <v>1</v>
      </c>
      <c r="F13" s="133">
        <v>395</v>
      </c>
      <c r="G13" s="133"/>
      <c r="H13" s="133">
        <v>675</v>
      </c>
      <c r="I13" s="133">
        <v>0</v>
      </c>
      <c r="J13" s="1430">
        <v>0</v>
      </c>
      <c r="K13" s="644"/>
      <c r="L13" s="461">
        <f t="shared" si="1"/>
        <v>675</v>
      </c>
      <c r="M13" s="461">
        <f t="shared" si="2"/>
        <v>675</v>
      </c>
      <c r="N13" s="695" t="s">
        <v>2652</v>
      </c>
      <c r="O13" s="1683" t="s">
        <v>7049</v>
      </c>
      <c r="P13" s="695" t="s">
        <v>907</v>
      </c>
      <c r="Q13" s="134" t="s">
        <v>2649</v>
      </c>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f t="shared" si="38"/>
        <v>1</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f t="shared" si="153"/>
        <v>395</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f t="shared" si="203"/>
        <v>1</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f t="shared" si="213"/>
        <v>1</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f t="shared" si="273"/>
        <v>1</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f t="shared" si="0"/>
        <v>1</v>
      </c>
      <c r="B14" s="1081" t="s">
        <v>290</v>
      </c>
      <c r="C14" s="132" t="s">
        <v>526</v>
      </c>
      <c r="D14" s="1751">
        <v>1</v>
      </c>
      <c r="E14" s="133">
        <v>10</v>
      </c>
      <c r="F14" s="133">
        <v>491</v>
      </c>
      <c r="G14" s="133"/>
      <c r="H14" s="133">
        <v>750</v>
      </c>
      <c r="I14" s="133">
        <v>0</v>
      </c>
      <c r="J14" s="1430">
        <v>0</v>
      </c>
      <c r="K14" s="644"/>
      <c r="L14" s="461">
        <f t="shared" si="1"/>
        <v>750</v>
      </c>
      <c r="M14" s="461">
        <f t="shared" si="2"/>
        <v>7500</v>
      </c>
      <c r="N14" s="695" t="s">
        <v>2652</v>
      </c>
      <c r="O14" s="1683" t="s">
        <v>7049</v>
      </c>
      <c r="P14" s="695" t="s">
        <v>907</v>
      </c>
      <c r="Q14" s="134" t="s">
        <v>2649</v>
      </c>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f t="shared" si="38"/>
        <v>10</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f t="shared" si="153"/>
        <v>4910</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f t="shared" si="203"/>
        <v>10</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f t="shared" si="213"/>
        <v>10</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f t="shared" si="273"/>
        <v>10</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f t="shared" si="0"/>
        <v>1</v>
      </c>
      <c r="B15" s="1081" t="s">
        <v>290</v>
      </c>
      <c r="C15" s="132">
        <v>1</v>
      </c>
      <c r="D15" s="1751">
        <v>1</v>
      </c>
      <c r="E15" s="133">
        <v>9</v>
      </c>
      <c r="F15" s="133">
        <v>634</v>
      </c>
      <c r="G15" s="133"/>
      <c r="H15" s="133">
        <v>825</v>
      </c>
      <c r="I15" s="133">
        <v>0</v>
      </c>
      <c r="J15" s="1430">
        <v>0</v>
      </c>
      <c r="K15" s="644"/>
      <c r="L15" s="461">
        <f t="shared" si="1"/>
        <v>825</v>
      </c>
      <c r="M15" s="461">
        <f t="shared" si="2"/>
        <v>7425</v>
      </c>
      <c r="N15" s="695" t="s">
        <v>2652</v>
      </c>
      <c r="O15" s="1683" t="s">
        <v>7049</v>
      </c>
      <c r="P15" s="695" t="s">
        <v>907</v>
      </c>
      <c r="Q15" s="134" t="s">
        <v>2649</v>
      </c>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9</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5706</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f t="shared" si="204"/>
        <v>9</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f t="shared" si="214"/>
        <v>9</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f t="shared" si="274"/>
        <v>9</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50</v>
      </c>
      <c r="C18" s="1083" t="s">
        <v>526</v>
      </c>
      <c r="D18" s="1753">
        <v>1</v>
      </c>
      <c r="E18" s="1084">
        <v>1</v>
      </c>
      <c r="F18" s="1084">
        <v>395</v>
      </c>
      <c r="G18" s="1084">
        <v>648</v>
      </c>
      <c r="H18" s="1084">
        <v>575</v>
      </c>
      <c r="I18" s="1084">
        <v>0</v>
      </c>
      <c r="J18" s="1100">
        <f>IF(C18="",0,HLOOKUP(C18,'Part IV-Utility Allowances'!$I$11:$M$22,12))</f>
        <v>0</v>
      </c>
      <c r="K18" s="1101"/>
      <c r="L18" s="1102">
        <f t="shared" si="1"/>
        <v>575</v>
      </c>
      <c r="M18" s="1102">
        <f t="shared" si="2"/>
        <v>575</v>
      </c>
      <c r="N18" s="1103" t="s">
        <v>2652</v>
      </c>
      <c r="O18" s="1685" t="s">
        <v>7049</v>
      </c>
      <c r="P18" s="1103" t="s">
        <v>907</v>
      </c>
      <c r="Q18" s="1104" t="s">
        <v>2649</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f t="shared" si="18"/>
        <v>1</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f t="shared" si="133"/>
        <v>395</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f t="shared" si="198"/>
        <v>1</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1</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f t="shared" si="273"/>
        <v>1</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9">
        <v>50</v>
      </c>
      <c r="C19" s="132" t="s">
        <v>526</v>
      </c>
      <c r="D19" s="1751">
        <v>1</v>
      </c>
      <c r="E19" s="133">
        <v>6</v>
      </c>
      <c r="F19" s="133">
        <v>491</v>
      </c>
      <c r="G19" s="133">
        <v>648</v>
      </c>
      <c r="H19" s="133">
        <v>648</v>
      </c>
      <c r="I19" s="133">
        <v>0</v>
      </c>
      <c r="J19" s="756">
        <f>IF(C19="",0,HLOOKUP(C19,'Part IV-Utility Allowances'!$I$11:$M$22,12))</f>
        <v>0</v>
      </c>
      <c r="K19" s="1101" t="s">
        <v>7050</v>
      </c>
      <c r="L19" s="461">
        <f t="shared" si="1"/>
        <v>648</v>
      </c>
      <c r="M19" s="461">
        <f t="shared" si="2"/>
        <v>3888</v>
      </c>
      <c r="N19" s="695" t="s">
        <v>2652</v>
      </c>
      <c r="O19" s="1683" t="s">
        <v>7049</v>
      </c>
      <c r="P19" s="695" t="s">
        <v>907</v>
      </c>
      <c r="Q19" s="134" t="s">
        <v>2649</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f t="shared" si="18"/>
        <v>6</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f t="shared" si="58"/>
        <v>6</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f t="shared" si="133"/>
        <v>2946</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f t="shared" si="158"/>
        <v>2946</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f t="shared" si="198"/>
        <v>6</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f t="shared" si="213"/>
        <v>6</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f t="shared" si="273"/>
        <v>6</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v>50</v>
      </c>
      <c r="C20" s="132">
        <v>1</v>
      </c>
      <c r="D20" s="1751">
        <v>1</v>
      </c>
      <c r="E20" s="133">
        <v>6</v>
      </c>
      <c r="F20" s="133">
        <v>634</v>
      </c>
      <c r="G20" s="133">
        <v>695</v>
      </c>
      <c r="H20" s="133">
        <v>695</v>
      </c>
      <c r="I20" s="133">
        <v>0</v>
      </c>
      <c r="J20" s="756">
        <f>IF(C20="",0,HLOOKUP(C20,'Part IV-Utility Allowances'!$I$11:$M$22,12))</f>
        <v>0</v>
      </c>
      <c r="K20" s="1101" t="s">
        <v>7050</v>
      </c>
      <c r="L20" s="461">
        <f t="shared" si="1"/>
        <v>695</v>
      </c>
      <c r="M20" s="461">
        <f t="shared" si="2"/>
        <v>4170</v>
      </c>
      <c r="N20" s="1103" t="s">
        <v>2652</v>
      </c>
      <c r="O20" s="1685" t="s">
        <v>7049</v>
      </c>
      <c r="P20" s="1103" t="s">
        <v>907</v>
      </c>
      <c r="Q20" s="1104" t="s">
        <v>2649</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6</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f t="shared" si="59"/>
        <v>6</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3804</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3804</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f t="shared" si="199"/>
        <v>6</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6</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f t="shared" si="274"/>
        <v>6</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9">
        <v>60</v>
      </c>
      <c r="C21" s="132" t="s">
        <v>526</v>
      </c>
      <c r="D21" s="1751">
        <v>1</v>
      </c>
      <c r="E21" s="133">
        <v>1</v>
      </c>
      <c r="F21" s="133">
        <v>395</v>
      </c>
      <c r="G21" s="133">
        <v>778</v>
      </c>
      <c r="H21" s="133">
        <v>600</v>
      </c>
      <c r="I21" s="133">
        <v>0</v>
      </c>
      <c r="J21" s="756">
        <f>IF(C21="",0,HLOOKUP(C21,'Part IV-Utility Allowances'!$I$11:$M$22,12))</f>
        <v>0</v>
      </c>
      <c r="K21" s="1101"/>
      <c r="L21" s="461">
        <f t="shared" si="1"/>
        <v>600</v>
      </c>
      <c r="M21" s="461">
        <f t="shared" si="2"/>
        <v>600</v>
      </c>
      <c r="N21" s="695" t="s">
        <v>2652</v>
      </c>
      <c r="O21" s="1683" t="s">
        <v>7049</v>
      </c>
      <c r="P21" s="695" t="s">
        <v>907</v>
      </c>
      <c r="Q21" s="134" t="s">
        <v>2649</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f t="shared" si="13"/>
        <v>1</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f t="shared" si="128"/>
        <v>395</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f t="shared" si="198"/>
        <v>1</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f t="shared" si="213"/>
        <v>1</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f t="shared" si="273"/>
        <v>1</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9">
        <v>60</v>
      </c>
      <c r="C22" s="132" t="s">
        <v>526</v>
      </c>
      <c r="D22" s="1751">
        <v>1</v>
      </c>
      <c r="E22" s="133">
        <v>1</v>
      </c>
      <c r="F22" s="133">
        <v>395</v>
      </c>
      <c r="G22" s="133">
        <v>778</v>
      </c>
      <c r="H22" s="133">
        <v>675</v>
      </c>
      <c r="I22" s="133">
        <v>0</v>
      </c>
      <c r="J22" s="756">
        <f>IF(C22="",0,HLOOKUP(C22,'Part IV-Utility Allowances'!$I$11:$M$22,12))</f>
        <v>0</v>
      </c>
      <c r="K22" s="1101" t="s">
        <v>7050</v>
      </c>
      <c r="L22" s="461">
        <f t="shared" si="1"/>
        <v>675</v>
      </c>
      <c r="M22" s="461">
        <f t="shared" si="2"/>
        <v>675</v>
      </c>
      <c r="N22" s="1103" t="s">
        <v>2652</v>
      </c>
      <c r="O22" s="1685" t="s">
        <v>7049</v>
      </c>
      <c r="P22" s="1103" t="s">
        <v>907</v>
      </c>
      <c r="Q22" s="1104" t="s">
        <v>2649</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f t="shared" si="13"/>
        <v>1</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f t="shared" si="63"/>
        <v>1</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f t="shared" si="128"/>
        <v>395</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f t="shared" si="158"/>
        <v>395</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f t="shared" si="198"/>
        <v>1</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f t="shared" si="213"/>
        <v>1</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f t="shared" si="273"/>
        <v>1</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v>60</v>
      </c>
      <c r="C23" s="132" t="s">
        <v>526</v>
      </c>
      <c r="D23" s="1751">
        <v>1</v>
      </c>
      <c r="E23" s="133">
        <v>5</v>
      </c>
      <c r="F23" s="133">
        <v>491</v>
      </c>
      <c r="G23" s="133">
        <v>778</v>
      </c>
      <c r="H23" s="133">
        <v>675</v>
      </c>
      <c r="I23" s="133">
        <v>0</v>
      </c>
      <c r="J23" s="756">
        <f>IF(C23="",0,HLOOKUP(C23,'Part IV-Utility Allowances'!$I$11:$M$22,12))</f>
        <v>0</v>
      </c>
      <c r="K23" s="1101" t="s">
        <v>7050</v>
      </c>
      <c r="L23" s="461">
        <f t="shared" si="1"/>
        <v>675</v>
      </c>
      <c r="M23" s="461">
        <f t="shared" si="2"/>
        <v>3375</v>
      </c>
      <c r="N23" s="695" t="s">
        <v>2652</v>
      </c>
      <c r="O23" s="1683" t="s">
        <v>7049</v>
      </c>
      <c r="P23" s="695" t="s">
        <v>907</v>
      </c>
      <c r="Q23" s="134" t="s">
        <v>2649</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f t="shared" si="13"/>
        <v>5</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f t="shared" si="63"/>
        <v>5</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f t="shared" si="128"/>
        <v>2455</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f t="shared" si="158"/>
        <v>2455</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f t="shared" si="198"/>
        <v>5</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f t="shared" si="213"/>
        <v>5</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f t="shared" si="273"/>
        <v>5</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9">
        <v>60</v>
      </c>
      <c r="C24" s="132" t="s">
        <v>526</v>
      </c>
      <c r="D24" s="1751">
        <v>1</v>
      </c>
      <c r="E24" s="133">
        <v>15</v>
      </c>
      <c r="F24" s="133">
        <v>491</v>
      </c>
      <c r="G24" s="133">
        <v>778</v>
      </c>
      <c r="H24" s="133">
        <v>675</v>
      </c>
      <c r="I24" s="133">
        <v>0</v>
      </c>
      <c r="J24" s="756">
        <f>IF(C24="",0,HLOOKUP(C24,'Part IV-Utility Allowances'!$I$11:$M$22,12))</f>
        <v>0</v>
      </c>
      <c r="K24" s="644"/>
      <c r="L24" s="461">
        <f t="shared" si="1"/>
        <v>675</v>
      </c>
      <c r="M24" s="461">
        <f t="shared" si="2"/>
        <v>10125</v>
      </c>
      <c r="N24" s="695" t="s">
        <v>2652</v>
      </c>
      <c r="O24" s="1683" t="s">
        <v>7049</v>
      </c>
      <c r="P24" s="695" t="s">
        <v>907</v>
      </c>
      <c r="Q24" s="134" t="s">
        <v>2649</v>
      </c>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f t="shared" si="13"/>
        <v>15</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f t="shared" si="128"/>
        <v>7365</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f t="shared" si="198"/>
        <v>15</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f t="shared" si="213"/>
        <v>15</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f t="shared" si="273"/>
        <v>15</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9">
        <v>60</v>
      </c>
      <c r="C25" s="132">
        <v>1</v>
      </c>
      <c r="D25" s="1751">
        <v>1</v>
      </c>
      <c r="E25" s="133">
        <v>14</v>
      </c>
      <c r="F25" s="133">
        <v>634</v>
      </c>
      <c r="G25" s="133">
        <v>834</v>
      </c>
      <c r="H25" s="133">
        <v>750</v>
      </c>
      <c r="I25" s="133">
        <v>0</v>
      </c>
      <c r="J25" s="756">
        <f>IF(C25="",0,HLOOKUP(C25,'Part IV-Utility Allowances'!$I$11:$M$22,12))</f>
        <v>0</v>
      </c>
      <c r="K25" s="644"/>
      <c r="L25" s="461">
        <f t="shared" si="1"/>
        <v>750</v>
      </c>
      <c r="M25" s="461">
        <f t="shared" si="2"/>
        <v>10500</v>
      </c>
      <c r="N25" s="695" t="s">
        <v>2652</v>
      </c>
      <c r="O25" s="1683" t="s">
        <v>7049</v>
      </c>
      <c r="P25" s="695" t="s">
        <v>907</v>
      </c>
      <c r="Q25" s="134" t="s">
        <v>2649</v>
      </c>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f t="shared" si="14"/>
        <v>14</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f t="shared" si="129"/>
        <v>8876</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f t="shared" si="199"/>
        <v>14</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f t="shared" si="214"/>
        <v>14</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f t="shared" si="274"/>
        <v>14</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v>60</v>
      </c>
      <c r="C26" s="132">
        <v>1</v>
      </c>
      <c r="D26" s="1751">
        <v>1</v>
      </c>
      <c r="E26" s="133">
        <v>7</v>
      </c>
      <c r="F26" s="133">
        <v>634</v>
      </c>
      <c r="G26" s="133">
        <v>834</v>
      </c>
      <c r="H26" s="133">
        <v>750</v>
      </c>
      <c r="I26" s="133">
        <v>0</v>
      </c>
      <c r="J26" s="756">
        <f>IF(C26="",0,HLOOKUP(C26,'Part IV-Utility Allowances'!$I$11:$M$22,12))</f>
        <v>0</v>
      </c>
      <c r="K26" s="644" t="s">
        <v>7050</v>
      </c>
      <c r="L26" s="461">
        <f t="shared" si="1"/>
        <v>750</v>
      </c>
      <c r="M26" s="461">
        <f t="shared" si="2"/>
        <v>5250</v>
      </c>
      <c r="N26" s="695" t="s">
        <v>2652</v>
      </c>
      <c r="O26" s="1683" t="s">
        <v>7049</v>
      </c>
      <c r="P26" s="695" t="s">
        <v>907</v>
      </c>
      <c r="Q26" s="134" t="s">
        <v>2649</v>
      </c>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f t="shared" si="14"/>
        <v>7</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f t="shared" si="64"/>
        <v>7</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f t="shared" si="129"/>
        <v>4438</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f t="shared" si="159"/>
        <v>4438</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f t="shared" si="199"/>
        <v>7</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f t="shared" si="214"/>
        <v>7</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f t="shared" si="274"/>
        <v>7</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3"/>
      <c r="U48" s="3574"/>
      <c r="V48" s="3574"/>
      <c r="W48" s="357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3</v>
      </c>
      <c r="B49" s="3607" t="s">
        <v>3767</v>
      </c>
      <c r="C49" s="3608"/>
      <c r="D49" s="107" t="s">
        <v>954</v>
      </c>
      <c r="E49" s="1113">
        <f>SUM(E11:E48)</f>
        <v>76</v>
      </c>
      <c r="F49" s="1111">
        <f>(E11*F11+E12*F12+E13*F13+E14*F14+E15*F15+E16*F16+E17*F17+E18*F18+E19*F19+E20*F20+E21*F21+E22*F22+E23*F23+E24*F24+E25*F25+E26*F26+E27*F27+E28*F28+E29*F29+E30*F30+E31*F31+E32*F32+E33*F33+E34*F34+E35*F35+E36*F36+E37*F37+E38*F38+E39*F39+E40*F40+E41*F41+E42*F42+E43*F43+E44*F44+E45*F45+E46*F46+E47*F47+E48*F48)</f>
        <v>42080</v>
      </c>
      <c r="H49" s="3581" t="s">
        <v>3764</v>
      </c>
      <c r="I49" s="1114" t="s">
        <v>3765</v>
      </c>
      <c r="J49" s="1115" t="str">
        <f>IF(P67=0,"",IF(SUM(P58:P62)/P67&gt;=0.4,"Pass","Fail"))</f>
        <v>Pass</v>
      </c>
      <c r="K49" s="448"/>
      <c r="L49" s="699" t="s">
        <v>1225</v>
      </c>
      <c r="M49" s="94">
        <f>SUM(M11:M48)</f>
        <v>54758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22</v>
      </c>
      <c r="AI49" s="1749">
        <f t="shared" si="339"/>
        <v>21</v>
      </c>
      <c r="AJ49" s="1749">
        <f t="shared" si="339"/>
        <v>0</v>
      </c>
      <c r="AK49" s="1749">
        <f t="shared" si="339"/>
        <v>0</v>
      </c>
      <c r="AL49" s="1749">
        <f t="shared" si="339"/>
        <v>0</v>
      </c>
      <c r="AM49" s="1749">
        <f>SUM(AM11:AM48)</f>
        <v>7</v>
      </c>
      <c r="AN49" s="1749">
        <f>SUM(AN11:AN48)</f>
        <v>6</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11</v>
      </c>
      <c r="BH49" s="1749">
        <f t="shared" si="338"/>
        <v>9</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6</v>
      </c>
      <c r="CB49" s="1749">
        <f t="shared" si="338"/>
        <v>6</v>
      </c>
      <c r="CC49" s="1749">
        <f t="shared" si="338"/>
        <v>0</v>
      </c>
      <c r="CD49" s="1749">
        <f t="shared" si="338"/>
        <v>0</v>
      </c>
      <c r="CE49" s="1749">
        <f t="shared" si="338"/>
        <v>0</v>
      </c>
      <c r="CF49" s="1749">
        <f t="shared" si="338"/>
        <v>6</v>
      </c>
      <c r="CG49" s="1749">
        <f t="shared" si="338"/>
        <v>7</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10610</v>
      </c>
      <c r="ET49" s="1749">
        <f t="shared" si="342"/>
        <v>13314</v>
      </c>
      <c r="EU49" s="1749">
        <f t="shared" si="342"/>
        <v>0</v>
      </c>
      <c r="EV49" s="1749">
        <f t="shared" si="342"/>
        <v>0</v>
      </c>
      <c r="EW49" s="1749">
        <f t="shared" si="342"/>
        <v>0</v>
      </c>
      <c r="EX49" s="1749">
        <f t="shared" si="338"/>
        <v>3341</v>
      </c>
      <c r="EY49" s="1749">
        <f t="shared" si="338"/>
        <v>3804</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5305</v>
      </c>
      <c r="FS49" s="1749">
        <f t="shared" si="343"/>
        <v>5706</v>
      </c>
      <c r="FT49" s="1749">
        <f t="shared" si="343"/>
        <v>0</v>
      </c>
      <c r="FU49" s="1749">
        <f t="shared" si="343"/>
        <v>0</v>
      </c>
      <c r="FV49" s="1749">
        <f t="shared" si="343"/>
        <v>0</v>
      </c>
      <c r="FW49" s="1749">
        <f t="shared" si="343"/>
        <v>5796</v>
      </c>
      <c r="FX49" s="1749">
        <f t="shared" si="343"/>
        <v>8242</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29</v>
      </c>
      <c r="HL49" s="1749">
        <f t="shared" si="343"/>
        <v>27</v>
      </c>
      <c r="HM49" s="1749">
        <f t="shared" si="343"/>
        <v>0</v>
      </c>
      <c r="HN49" s="1749">
        <f t="shared" si="343"/>
        <v>0</v>
      </c>
      <c r="HO49" s="1749">
        <f t="shared" si="343"/>
        <v>0</v>
      </c>
      <c r="HP49" s="1749">
        <f t="shared" si="343"/>
        <v>11</v>
      </c>
      <c r="HQ49" s="1749">
        <f t="shared" si="343"/>
        <v>9</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40</v>
      </c>
      <c r="IA49" s="1749">
        <f t="shared" si="344"/>
        <v>36</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40</v>
      </c>
      <c r="KI49" s="1749">
        <f>SUM(KI11:KI48)</f>
        <v>36</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579">
        <f>IF(SUM(E18:E48)=0,"",(B18*E18+B19*E19+B20*E20+B21*E21+B22*E22+B23*E23+B24*E24+B25*E25+B26*E26+B27*E27+B28*E28+B29*E29+B30*E30+B31*E31+B32*E32+B33*E33+B34*E34+B35*E35+B36*E36+B37*E37+B38*E38+B39*E39+B40*E40+B41*E41+B42*E42+B43*E43+B44*E44+B45*E45+B46*E46+B47*E47+B48*E48)/SUM(E18:E48))</f>
        <v>57.678571428571431</v>
      </c>
      <c r="C50" s="3580"/>
      <c r="D50" s="119" t="s">
        <v>3674</v>
      </c>
      <c r="E50" s="1110">
        <f>SUM(E18:E48)</f>
        <v>56</v>
      </c>
      <c r="F50" s="1112">
        <f>(E18*F18+E19*F19+E20*F20+E21*F21+E22*F22+E23*F23+E24*F24+E25*F25+E26*F26+E27*F27+E28*F28+E29*F29+E30*F30+E31*F31+E32*F32+E33*F33+E34*F34+E35*F35+E36*F36+E37*F37+E38*F38+E39*F39+E40*F40+E41*F41+E42*F42+E43*F43+E44*F44+E45*F45+E46*F46+E47*F47+E48*F48)</f>
        <v>31069</v>
      </c>
      <c r="H50" s="3582"/>
      <c r="I50" s="1116" t="s">
        <v>3766</v>
      </c>
      <c r="J50" s="1117" t="str">
        <f>IF(P67=0,"",IF(SUM(P59:P62)/P67&gt;=0.2,"Pass","Fail"))</f>
        <v>Fail</v>
      </c>
      <c r="K50" s="448"/>
      <c r="L50" s="107" t="s">
        <v>757</v>
      </c>
      <c r="M50" s="94">
        <f>M49*12</f>
        <v>657096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578" t="s">
        <v>2408</v>
      </c>
      <c r="B51" s="3577"/>
      <c r="C51" s="3577"/>
      <c r="D51" s="3577"/>
      <c r="E51" s="3577"/>
      <c r="F51" s="3577"/>
      <c r="G51" s="3577"/>
      <c r="H51" s="3577"/>
      <c r="I51" s="3577"/>
      <c r="J51" s="3577"/>
      <c r="K51" s="3577"/>
      <c r="L51" s="3577"/>
      <c r="M51" s="3577"/>
      <c r="N51" s="3577"/>
      <c r="O51" s="3577"/>
      <c r="P51" s="3577"/>
      <c r="Q51" s="35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7"/>
      <c r="B52" s="3577"/>
      <c r="C52" s="3577"/>
      <c r="D52" s="3577"/>
      <c r="E52" s="3577"/>
      <c r="F52" s="3577"/>
      <c r="G52" s="3577"/>
      <c r="H52" s="3577"/>
      <c r="I52" s="3577"/>
      <c r="J52" s="3577"/>
      <c r="K52" s="3577"/>
      <c r="L52" s="3577"/>
      <c r="M52" s="3577"/>
      <c r="N52" s="3577"/>
      <c r="O52" s="3577"/>
      <c r="P52" s="3577"/>
      <c r="Q52" s="35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568" t="s">
        <v>7051</v>
      </c>
      <c r="P53" s="3569"/>
      <c r="S53" s="3596" t="str">
        <f>B53</f>
        <v>UNIT SUMMARY</v>
      </c>
      <c r="T53" s="3596"/>
      <c r="U53" s="3596"/>
      <c r="V53" s="3596"/>
      <c r="AY53" s="359"/>
      <c r="BD53" s="359"/>
      <c r="LO53" s="361"/>
      <c r="MD53" s="357"/>
    </row>
    <row r="54" spans="1:381" ht="14.25" customHeight="1">
      <c r="A54" s="10"/>
      <c r="B54" s="10"/>
      <c r="K54" s="144" t="s">
        <v>6642</v>
      </c>
      <c r="O54" s="3566" t="s">
        <v>3204</v>
      </c>
      <c r="P54" s="3567"/>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0" t="s">
        <v>4074</v>
      </c>
      <c r="B56" s="3660"/>
      <c r="C56" s="72" t="s">
        <v>1069</v>
      </c>
      <c r="D56" s="1"/>
      <c r="E56" s="1"/>
      <c r="F56" s="1"/>
      <c r="G56" s="62"/>
      <c r="H56" s="81" t="s">
        <v>3675</v>
      </c>
      <c r="I56" s="29"/>
      <c r="J56" s="62"/>
      <c r="K56" s="1124">
        <f>X49</f>
        <v>0</v>
      </c>
      <c r="L56" s="1125">
        <f>Y49</f>
        <v>0</v>
      </c>
      <c r="M56" s="1125">
        <f>Z49</f>
        <v>0</v>
      </c>
      <c r="N56" s="1125">
        <f>AA49</f>
        <v>0</v>
      </c>
      <c r="O56" s="1126">
        <f>AB49</f>
        <v>0</v>
      </c>
      <c r="P56" s="749">
        <f t="shared" ref="P56:P67" si="347">SUM(K56:O56)</f>
        <v>0</v>
      </c>
      <c r="Q56" s="3576" t="s">
        <v>3184</v>
      </c>
      <c r="R56" s="889"/>
      <c r="S56" s="3563"/>
      <c r="T56" s="3564"/>
      <c r="U56" s="3564"/>
      <c r="V56" s="3564"/>
      <c r="W56" s="356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0"/>
      <c r="B57" s="3660"/>
      <c r="C57" s="72"/>
      <c r="D57" s="1"/>
      <c r="E57" s="1"/>
      <c r="F57" s="1"/>
      <c r="G57" s="62"/>
      <c r="H57" s="81" t="s">
        <v>3676</v>
      </c>
      <c r="I57" s="29"/>
      <c r="J57" s="62"/>
      <c r="K57" s="1127">
        <f>AC49</f>
        <v>0</v>
      </c>
      <c r="L57" s="1128">
        <f>AD49</f>
        <v>0</v>
      </c>
      <c r="M57" s="1128">
        <f>AE49</f>
        <v>0</v>
      </c>
      <c r="N57" s="1128">
        <f>AF49</f>
        <v>0</v>
      </c>
      <c r="O57" s="1129">
        <f>AG49</f>
        <v>0</v>
      </c>
      <c r="P57" s="745">
        <f t="shared" si="347"/>
        <v>0</v>
      </c>
      <c r="Q57" s="3576"/>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0"/>
      <c r="B58" s="3660"/>
      <c r="C58" s="72"/>
      <c r="D58" s="1"/>
      <c r="E58" s="1"/>
      <c r="F58" s="1"/>
      <c r="G58" s="62"/>
      <c r="H58" s="81" t="s">
        <v>1081</v>
      </c>
      <c r="I58" s="29"/>
      <c r="J58" s="62"/>
      <c r="K58" s="1127">
        <f>AH49</f>
        <v>22</v>
      </c>
      <c r="L58" s="1128">
        <f>AI49</f>
        <v>21</v>
      </c>
      <c r="M58" s="1128">
        <f>AJ49</f>
        <v>0</v>
      </c>
      <c r="N58" s="1128">
        <f>AK49</f>
        <v>0</v>
      </c>
      <c r="O58" s="1129">
        <f>AL49</f>
        <v>0</v>
      </c>
      <c r="P58" s="745">
        <f t="shared" si="347"/>
        <v>43</v>
      </c>
      <c r="Q58" s="3576"/>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0"/>
      <c r="B59" s="3660"/>
      <c r="C59" s="72"/>
      <c r="D59" s="1"/>
      <c r="E59" s="1"/>
      <c r="F59" s="1"/>
      <c r="G59" s="62"/>
      <c r="H59" s="81" t="s">
        <v>112</v>
      </c>
      <c r="I59" s="29"/>
      <c r="J59" s="912"/>
      <c r="K59" s="1148">
        <f>AM49</f>
        <v>7</v>
      </c>
      <c r="L59" s="1149">
        <f>AN49</f>
        <v>6</v>
      </c>
      <c r="M59" s="1149">
        <f>AO49</f>
        <v>0</v>
      </c>
      <c r="N59" s="1149">
        <f>AP49</f>
        <v>0</v>
      </c>
      <c r="O59" s="1150">
        <f>AQ49</f>
        <v>0</v>
      </c>
      <c r="P59" s="466">
        <f t="shared" si="347"/>
        <v>13</v>
      </c>
      <c r="Q59" s="3576"/>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0"/>
      <c r="B60" s="3660"/>
      <c r="C60" s="72"/>
      <c r="D60" s="1"/>
      <c r="E60" s="1"/>
      <c r="F60" s="1"/>
      <c r="G60" s="62"/>
      <c r="H60" s="81" t="s">
        <v>3677</v>
      </c>
      <c r="I60" s="29"/>
      <c r="J60" s="912"/>
      <c r="K60" s="1127">
        <f>AR49</f>
        <v>0</v>
      </c>
      <c r="L60" s="1128">
        <f>AS49</f>
        <v>0</v>
      </c>
      <c r="M60" s="1128">
        <f>AT49</f>
        <v>0</v>
      </c>
      <c r="N60" s="1128">
        <f>AU49</f>
        <v>0</v>
      </c>
      <c r="O60" s="1129">
        <f>AV49</f>
        <v>0</v>
      </c>
      <c r="P60" s="745">
        <f t="shared" si="347"/>
        <v>0</v>
      </c>
      <c r="Q60" s="3576"/>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0"/>
      <c r="B61" s="3660"/>
      <c r="C61" s="72"/>
      <c r="D61" s="1"/>
      <c r="E61" s="1"/>
      <c r="F61" s="1"/>
      <c r="G61" s="62"/>
      <c r="H61" s="81" t="s">
        <v>3678</v>
      </c>
      <c r="I61" s="29"/>
      <c r="J61" s="62"/>
      <c r="K61" s="1127">
        <f>AW49</f>
        <v>0</v>
      </c>
      <c r="L61" s="1128">
        <f>AX49</f>
        <v>0</v>
      </c>
      <c r="M61" s="1128">
        <f>AY49</f>
        <v>0</v>
      </c>
      <c r="N61" s="1128">
        <f>AZ49</f>
        <v>0</v>
      </c>
      <c r="O61" s="1129">
        <f>BA49</f>
        <v>0</v>
      </c>
      <c r="P61" s="745">
        <f t="shared" si="347"/>
        <v>0</v>
      </c>
      <c r="Q61" s="3576"/>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0"/>
      <c r="B62" s="3660"/>
      <c r="C62" s="4"/>
      <c r="D62" s="1"/>
      <c r="E62" s="1"/>
      <c r="F62" s="1"/>
      <c r="G62" s="62"/>
      <c r="H62" s="81" t="s">
        <v>3679</v>
      </c>
      <c r="I62" s="29"/>
      <c r="J62" s="62"/>
      <c r="K62" s="1130">
        <f>BB49</f>
        <v>0</v>
      </c>
      <c r="L62" s="1131">
        <f>BC49</f>
        <v>0</v>
      </c>
      <c r="M62" s="1131">
        <f>BD49</f>
        <v>0</v>
      </c>
      <c r="N62" s="1131">
        <f>BE49</f>
        <v>0</v>
      </c>
      <c r="O62" s="1132">
        <f>BF49</f>
        <v>0</v>
      </c>
      <c r="P62" s="466">
        <f t="shared" si="347"/>
        <v>0</v>
      </c>
      <c r="Q62" s="3576"/>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0"/>
      <c r="B63" s="3660"/>
      <c r="C63" s="81" t="s">
        <v>3761</v>
      </c>
      <c r="D63" s="1"/>
      <c r="E63" s="1"/>
      <c r="F63" s="1"/>
      <c r="G63" s="62"/>
      <c r="H63" s="68"/>
      <c r="I63" s="44"/>
      <c r="J63" s="62"/>
      <c r="K63" s="1092">
        <f>SUM(K56:K62)</f>
        <v>29</v>
      </c>
      <c r="L63" s="1092">
        <f>SUM(L56:L62)</f>
        <v>27</v>
      </c>
      <c r="M63" s="1092">
        <f>SUM(M56:M62)</f>
        <v>0</v>
      </c>
      <c r="N63" s="1092">
        <f>SUM(N56:N62)</f>
        <v>0</v>
      </c>
      <c r="O63" s="1092">
        <f>SUM(O56:O62)</f>
        <v>0</v>
      </c>
      <c r="P63" s="1092">
        <f t="shared" si="347"/>
        <v>56</v>
      </c>
      <c r="Q63" s="3577"/>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0"/>
      <c r="B64" s="3660"/>
      <c r="D64" s="1"/>
      <c r="E64" s="1"/>
      <c r="F64" s="1"/>
      <c r="G64" s="62"/>
      <c r="H64" s="81" t="s">
        <v>290</v>
      </c>
      <c r="I64" s="29"/>
      <c r="J64" s="62"/>
      <c r="K64" s="746">
        <f>BG49</f>
        <v>11</v>
      </c>
      <c r="L64" s="746">
        <f>BH49</f>
        <v>9</v>
      </c>
      <c r="M64" s="746">
        <f>BI49</f>
        <v>0</v>
      </c>
      <c r="N64" s="746">
        <f>BJ49</f>
        <v>0</v>
      </c>
      <c r="O64" s="746">
        <f>BK49</f>
        <v>0</v>
      </c>
      <c r="P64" s="746">
        <f t="shared" si="347"/>
        <v>20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0"/>
      <c r="B65" s="3660"/>
      <c r="C65" s="1097" t="s">
        <v>1070</v>
      </c>
      <c r="D65" s="1097"/>
      <c r="E65" s="1097"/>
      <c r="F65" s="1097"/>
      <c r="G65" s="1098"/>
      <c r="H65" s="1439"/>
      <c r="I65" s="42"/>
      <c r="J65" s="1098"/>
      <c r="K65" s="1099">
        <f>SUM(K63:K64)</f>
        <v>40</v>
      </c>
      <c r="L65" s="1099">
        <f>SUM(L63:L64)</f>
        <v>36</v>
      </c>
      <c r="M65" s="1099">
        <f>SUM(M63:M64)</f>
        <v>0</v>
      </c>
      <c r="N65" s="1099">
        <f>SUM(N63:N64)</f>
        <v>0</v>
      </c>
      <c r="O65" s="1099">
        <f>SUM(O63:O64)</f>
        <v>0</v>
      </c>
      <c r="P65" s="1099">
        <f t="shared" si="347"/>
        <v>76</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0"/>
      <c r="B66" s="366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0"/>
      <c r="B67" s="3660"/>
      <c r="C67" s="4" t="s">
        <v>1667</v>
      </c>
      <c r="D67" s="1"/>
      <c r="E67" s="1"/>
      <c r="F67" s="1"/>
      <c r="G67" s="62"/>
      <c r="H67" s="81"/>
      <c r="I67" s="29"/>
      <c r="J67" s="62"/>
      <c r="K67" s="1091">
        <f>SUM(K65:K66)</f>
        <v>40</v>
      </c>
      <c r="L67" s="1091">
        <f>SUM(L65:L66)</f>
        <v>36</v>
      </c>
      <c r="M67" s="1091">
        <f>SUM(M65:M66)</f>
        <v>0</v>
      </c>
      <c r="N67" s="1091">
        <f>SUM(N65:N66)</f>
        <v>0</v>
      </c>
      <c r="O67" s="1091">
        <f>SUM(O65:O66)</f>
        <v>0</v>
      </c>
      <c r="P67" s="1091">
        <f t="shared" si="347"/>
        <v>76</v>
      </c>
      <c r="S67" s="3573"/>
      <c r="T67" s="3574"/>
      <c r="U67" s="3574"/>
      <c r="V67" s="3574"/>
      <c r="W67" s="357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0"/>
      <c r="B68" s="366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0"/>
      <c r="B69" s="3660"/>
      <c r="C69" s="3606" t="s">
        <v>3770</v>
      </c>
      <c r="D69" s="3606"/>
      <c r="E69" s="3606"/>
      <c r="F69" s="360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0"/>
      <c r="B70" s="3660"/>
      <c r="C70" s="3606"/>
      <c r="D70" s="3606"/>
      <c r="E70" s="3606"/>
      <c r="F70" s="3606"/>
      <c r="G70" s="6"/>
      <c r="H70" s="81" t="s">
        <v>3675</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4068</v>
      </c>
      <c r="S70" s="3563"/>
      <c r="T70" s="3564"/>
      <c r="U70" s="3564"/>
      <c r="V70" s="3564"/>
      <c r="W70" s="356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0"/>
      <c r="B71" s="3660"/>
      <c r="C71" s="667"/>
      <c r="D71" s="6"/>
      <c r="E71" s="6"/>
      <c r="F71" s="6"/>
      <c r="G71" s="6"/>
      <c r="H71" s="81" t="s">
        <v>6485</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0"/>
      <c r="B72" s="3660"/>
      <c r="C72" s="667"/>
      <c r="D72" s="6"/>
      <c r="E72" s="6"/>
      <c r="F72" s="6"/>
      <c r="G72" s="1504"/>
      <c r="H72" s="1441" t="s">
        <v>6486</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0"/>
      <c r="B73" s="3660"/>
      <c r="C73" s="667"/>
      <c r="D73" s="3556" t="s">
        <v>4067</v>
      </c>
      <c r="E73" s="3556"/>
      <c r="F73" s="3556"/>
      <c r="G73" s="6"/>
      <c r="H73" s="81" t="s">
        <v>3676</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6"/>
      <c r="E74" s="3556"/>
      <c r="F74" s="3556"/>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6"/>
      <c r="E75" s="3556"/>
      <c r="F75" s="3556"/>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556"/>
      <c r="E76" s="3556"/>
      <c r="F76" s="3556"/>
      <c r="G76" s="6"/>
      <c r="H76" s="81" t="s">
        <v>1081</v>
      </c>
      <c r="I76" s="29"/>
      <c r="J76" s="1"/>
      <c r="K76" s="1436">
        <f t="shared" ref="K76:P76" si="352">IF(OR(K58=0,K67=0),"",K58/K67)</f>
        <v>0.55000000000000004</v>
      </c>
      <c r="L76" s="1437">
        <f t="shared" si="352"/>
        <v>0.58333333333333337</v>
      </c>
      <c r="M76" s="1437" t="str">
        <f t="shared" si="352"/>
        <v/>
      </c>
      <c r="N76" s="1437" t="str">
        <f t="shared" si="352"/>
        <v/>
      </c>
      <c r="O76" s="1437" t="str">
        <f t="shared" si="352"/>
        <v/>
      </c>
      <c r="P76" s="1438">
        <f t="shared" si="352"/>
        <v>0.56578947368421051</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6"/>
      <c r="E77" s="3556"/>
      <c r="F77" s="3556"/>
      <c r="G77" s="6"/>
      <c r="H77" s="81" t="s">
        <v>6485</v>
      </c>
      <c r="I77" s="29"/>
      <c r="J77" s="1"/>
      <c r="K77" s="1509">
        <f>IF(OR(K58=0,P76="",K67=0),"",P76*K67)</f>
        <v>22.631578947368421</v>
      </c>
      <c r="L77" s="1509">
        <f>IF(OR(L58=0,P76="",L67=0),"",P76*L67)</f>
        <v>20.368421052631579</v>
      </c>
      <c r="M77" s="1509" t="str">
        <f>IF(OR(M58=0,P76="",M67=0),"",P76*M67)</f>
        <v/>
      </c>
      <c r="N77" s="1509" t="str">
        <f>IF(OR(N58=0,P76="",N67=0),"",P76*N67)</f>
        <v/>
      </c>
      <c r="O77" s="1509" t="str">
        <f>IF(OR(O58=0,P76="",O67=0),"",P76*O67)</f>
        <v/>
      </c>
      <c r="P77" s="1510">
        <f>IF(OR(P76="",P67=0),"",P76*P67)</f>
        <v>43</v>
      </c>
      <c r="S77" s="3573"/>
      <c r="T77" s="3574"/>
      <c r="U77" s="3574"/>
      <c r="V77" s="3574"/>
      <c r="W77" s="357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6"/>
      <c r="E78" s="3556"/>
      <c r="F78" s="3556"/>
      <c r="G78" s="1504"/>
      <c r="H78" s="1441" t="s">
        <v>6486</v>
      </c>
      <c r="I78" s="1409"/>
      <c r="J78" s="1"/>
      <c r="K78" s="1511">
        <f t="shared" ref="K78:P78" si="353">IF(OR(K77="",K58=0),"", K58-K77)</f>
        <v>-0.63157894736842124</v>
      </c>
      <c r="L78" s="1511">
        <f t="shared" si="353"/>
        <v>0.63157894736842124</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f t="shared" ref="K79:P79" si="354">IF(OR(K59=0,K67=0),"",K59/K67)</f>
        <v>0.17499999999999999</v>
      </c>
      <c r="L79" s="1437">
        <f t="shared" si="354"/>
        <v>0.16666666666666666</v>
      </c>
      <c r="M79" s="1437" t="str">
        <f t="shared" si="354"/>
        <v/>
      </c>
      <c r="N79" s="1437" t="str">
        <f t="shared" si="354"/>
        <v/>
      </c>
      <c r="O79" s="1437" t="str">
        <f t="shared" si="354"/>
        <v/>
      </c>
      <c r="P79" s="1438">
        <f t="shared" si="354"/>
        <v>0.17105263157894737</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f>IF(OR(K59=0,P79="",K67=0),"",P79*K67)</f>
        <v>6.8421052631578947</v>
      </c>
      <c r="L80" s="1509">
        <f>IF(OR(L59=0,P79="",L67=0),"",P79*L67)</f>
        <v>6.1578947368421053</v>
      </c>
      <c r="M80" s="1509" t="str">
        <f>IF(OR(M59=0,P79="",M67=0),"",P79*M67)</f>
        <v/>
      </c>
      <c r="N80" s="1509" t="str">
        <f>IF(OR(N59=0,P79="",N67=0),"",P79*N67)</f>
        <v/>
      </c>
      <c r="O80" s="1509" t="str">
        <f>IF(OR(O59=0,P79="",O67=0),"",P79*O67)</f>
        <v/>
      </c>
      <c r="P80" s="1510">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f t="shared" ref="K81:P81" si="355">IF(OR(K80="",K59=0),"", K59-K80)</f>
        <v>0.15789473684210531</v>
      </c>
      <c r="L81" s="1511">
        <f t="shared" si="355"/>
        <v>-0.15789473684210531</v>
      </c>
      <c r="M81" s="1511" t="str">
        <f t="shared" si="355"/>
        <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3677</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3678</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3679</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3675</v>
      </c>
      <c r="I93" s="29"/>
      <c r="J93" s="62"/>
      <c r="K93" s="1133">
        <f>CP49</f>
        <v>0</v>
      </c>
      <c r="L93" s="1134">
        <f>CQ49</f>
        <v>0</v>
      </c>
      <c r="M93" s="1134">
        <f>CR49</f>
        <v>0</v>
      </c>
      <c r="N93" s="1134">
        <f>CS49</f>
        <v>0</v>
      </c>
      <c r="O93" s="1135">
        <f>CT49</f>
        <v>0</v>
      </c>
      <c r="P93" s="747">
        <f t="shared" ref="P93:P100" si="362">SUM(K93:O93)</f>
        <v>0</v>
      </c>
      <c r="S93" s="3563"/>
      <c r="T93" s="3564"/>
      <c r="U93" s="3564"/>
      <c r="V93" s="3564"/>
      <c r="W93" s="356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3676</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6</v>
      </c>
      <c r="L95" s="1137">
        <f>CG49</f>
        <v>7</v>
      </c>
      <c r="M95" s="1137">
        <f>CH49</f>
        <v>0</v>
      </c>
      <c r="N95" s="1137">
        <f>CI49</f>
        <v>0</v>
      </c>
      <c r="O95" s="1138">
        <f>CJ49</f>
        <v>0</v>
      </c>
      <c r="P95" s="1090">
        <f t="shared" si="362"/>
        <v>13</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6</v>
      </c>
      <c r="L96" s="1158">
        <f>CB49</f>
        <v>6</v>
      </c>
      <c r="M96" s="1158">
        <f>CC49</f>
        <v>0</v>
      </c>
      <c r="N96" s="1158">
        <f>CD49</f>
        <v>0</v>
      </c>
      <c r="O96" s="1159">
        <f>CE49</f>
        <v>0</v>
      </c>
      <c r="P96" s="471">
        <f t="shared" si="362"/>
        <v>12</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3677</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3678</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3679</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12</v>
      </c>
      <c r="L100" s="1091">
        <f>SUM(L93:L99)</f>
        <v>13</v>
      </c>
      <c r="M100" s="1091">
        <f>SUM(M93:M99)</f>
        <v>0</v>
      </c>
      <c r="N100" s="1091">
        <f>SUM(N93:N99)</f>
        <v>0</v>
      </c>
      <c r="O100" s="1091">
        <f>SUM(O93:O99)</f>
        <v>0</v>
      </c>
      <c r="P100" s="1091">
        <f t="shared" si="362"/>
        <v>25</v>
      </c>
      <c r="S100" s="3573"/>
      <c r="T100" s="3574"/>
      <c r="U100" s="3574"/>
      <c r="V100" s="3574"/>
      <c r="W100" s="357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97" t="str">
        <f>$O$53</f>
        <v>40% of Units at 60% of AMI</v>
      </c>
      <c r="M102" s="3598"/>
      <c r="N102" s="3598"/>
      <c r="O102" s="35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3675</v>
      </c>
      <c r="I104" s="29"/>
      <c r="J104" s="62"/>
      <c r="K104" s="1133">
        <f>DY49</f>
        <v>0</v>
      </c>
      <c r="L104" s="1134">
        <f>DZ49</f>
        <v>0</v>
      </c>
      <c r="M104" s="1134">
        <f>EA49</f>
        <v>0</v>
      </c>
      <c r="N104" s="1134">
        <f>EB49</f>
        <v>0</v>
      </c>
      <c r="O104" s="1135">
        <f>EC49</f>
        <v>0</v>
      </c>
      <c r="P104" s="749">
        <f t="shared" ref="P104:P111" si="363">SUM(K104:O104)</f>
        <v>0</v>
      </c>
      <c r="S104" s="3563"/>
      <c r="T104" s="3564"/>
      <c r="U104" s="3564"/>
      <c r="V104" s="3564"/>
      <c r="W104" s="356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3676</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3677</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3678</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3679</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3"/>
      <c r="T111" s="3574"/>
      <c r="U111" s="3574"/>
      <c r="V111" s="3574"/>
      <c r="W111" s="357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9" t="s">
        <v>35</v>
      </c>
      <c r="D113" s="3559"/>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3"/>
      <c r="T113" s="3564"/>
      <c r="U113" s="3564"/>
      <c r="V113" s="3564"/>
      <c r="W113" s="356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9"/>
      <c r="D114" s="3559"/>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9"/>
      <c r="D115" s="3559"/>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9"/>
      <c r="D116" s="3559"/>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9"/>
      <c r="D117" s="3559"/>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9"/>
      <c r="D118" s="3559"/>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2" t="s">
        <v>1337</v>
      </c>
      <c r="F119" s="3602"/>
      <c r="G119" s="62"/>
      <c r="H119" s="81" t="s">
        <v>1343</v>
      </c>
      <c r="I119" s="29"/>
      <c r="J119" s="62"/>
      <c r="K119" s="1124">
        <f>HK49</f>
        <v>29</v>
      </c>
      <c r="L119" s="1125">
        <f>HL49</f>
        <v>27</v>
      </c>
      <c r="M119" s="1125">
        <f>HM49</f>
        <v>0</v>
      </c>
      <c r="N119" s="1125">
        <f>HN49</f>
        <v>0</v>
      </c>
      <c r="O119" s="1126">
        <f>HO49</f>
        <v>0</v>
      </c>
      <c r="P119" s="749">
        <f t="shared" si="364"/>
        <v>56</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2"/>
      <c r="F120" s="3602"/>
      <c r="G120" s="62"/>
      <c r="H120" s="81" t="s">
        <v>290</v>
      </c>
      <c r="I120" s="29"/>
      <c r="J120" s="62"/>
      <c r="K120" s="1130">
        <f>HP49</f>
        <v>11</v>
      </c>
      <c r="L120" s="1131">
        <f>HQ49</f>
        <v>9</v>
      </c>
      <c r="M120" s="1131">
        <f>HR49</f>
        <v>0</v>
      </c>
      <c r="N120" s="1131">
        <f>HS49</f>
        <v>0</v>
      </c>
      <c r="O120" s="1132">
        <f>HT49</f>
        <v>0</v>
      </c>
      <c r="P120" s="746">
        <f t="shared" si="364"/>
        <v>20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40</v>
      </c>
      <c r="L121" s="1093">
        <f>SUM(L119:L120)+HV49</f>
        <v>36</v>
      </c>
      <c r="M121" s="1093">
        <f>SUM(M119:M120)+HW49</f>
        <v>0</v>
      </c>
      <c r="N121" s="1093">
        <f>SUM(N119:N120)+HX49</f>
        <v>0</v>
      </c>
      <c r="O121" s="1093">
        <f>SUM(O119:O120)+HY49</f>
        <v>0</v>
      </c>
      <c r="P121" s="1093">
        <f t="shared" si="364"/>
        <v>76</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7" t="str">
        <f>IF(AND('Part III-A-Uses of Funds'!$T$179="Yes",'Part VIII Scoring Criteria'!$O$312&gt;0,P123&lt;1),"SHOW HISTORIC UNITS HERE &gt;&gt;&gt;&gt;","")</f>
        <v/>
      </c>
      <c r="B123" s="3667"/>
      <c r="C123" s="3667"/>
      <c r="D123" s="3667"/>
      <c r="E123" s="383" t="s">
        <v>3020</v>
      </c>
      <c r="F123" s="1"/>
      <c r="G123" s="147"/>
      <c r="H123" s="87"/>
      <c r="I123" s="62"/>
      <c r="J123" s="62"/>
      <c r="K123" s="468">
        <v>40</v>
      </c>
      <c r="L123" s="468">
        <v>36</v>
      </c>
      <c r="M123" s="468"/>
      <c r="N123" s="468"/>
      <c r="O123" s="468"/>
      <c r="P123" s="464">
        <f t="shared" si="364"/>
        <v>76</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3"/>
      <c r="T125" s="3574"/>
      <c r="U125" s="3574"/>
      <c r="V125" s="3574"/>
      <c r="W125" s="357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8" t="s">
        <v>6490</v>
      </c>
      <c r="D127" s="3558"/>
      <c r="E127" s="908" t="s">
        <v>36</v>
      </c>
      <c r="F127" s="767"/>
      <c r="G127" s="909"/>
      <c r="H127" s="1442"/>
      <c r="I127" s="910"/>
      <c r="J127" s="911"/>
      <c r="K127" s="1145">
        <f t="shared" ref="K127:P127" si="365">SUM(K128:K135)</f>
        <v>40</v>
      </c>
      <c r="L127" s="1146">
        <f t="shared" si="365"/>
        <v>36</v>
      </c>
      <c r="M127" s="1146">
        <f t="shared" si="365"/>
        <v>0</v>
      </c>
      <c r="N127" s="1146">
        <f t="shared" si="365"/>
        <v>0</v>
      </c>
      <c r="O127" s="1147">
        <f t="shared" si="365"/>
        <v>0</v>
      </c>
      <c r="P127" s="1096">
        <f t="shared" si="365"/>
        <v>76</v>
      </c>
      <c r="S127" s="3563"/>
      <c r="T127" s="3564"/>
      <c r="U127" s="3564"/>
      <c r="V127" s="3564"/>
      <c r="W127" s="356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9"/>
      <c r="D128" s="3559"/>
      <c r="E128" s="81"/>
      <c r="F128" s="1"/>
      <c r="G128" s="62"/>
      <c r="H128" s="1406" t="s">
        <v>6290</v>
      </c>
      <c r="I128" s="33"/>
      <c r="J128" s="912"/>
      <c r="K128" s="1127">
        <f>JS49</f>
        <v>0</v>
      </c>
      <c r="L128" s="1128">
        <f>JT49</f>
        <v>0</v>
      </c>
      <c r="M128" s="1128">
        <f>JU49</f>
        <v>0</v>
      </c>
      <c r="N128" s="1128">
        <f>JV49</f>
        <v>0</v>
      </c>
      <c r="O128" s="1129">
        <f>JW49</f>
        <v>0</v>
      </c>
      <c r="P128" s="745">
        <f t="shared" ref="P128:P143" si="366">SUM(K128:O128)</f>
        <v>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9"/>
      <c r="D129" s="3559"/>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9"/>
      <c r="D130" s="3559"/>
      <c r="E130" s="81"/>
      <c r="F130" s="1"/>
      <c r="G130" s="62"/>
      <c r="H130" s="1406" t="s">
        <v>6477</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9"/>
      <c r="D131" s="3559"/>
      <c r="E131" s="81"/>
      <c r="F131" s="1"/>
      <c r="G131" s="62"/>
      <c r="H131" s="1443" t="s">
        <v>2997</v>
      </c>
      <c r="I131" s="73"/>
      <c r="J131" s="912"/>
      <c r="K131" s="1691">
        <f>KH49</f>
        <v>40</v>
      </c>
      <c r="L131" s="1692">
        <f>KI49</f>
        <v>36</v>
      </c>
      <c r="M131" s="1692">
        <f>KJ49</f>
        <v>0</v>
      </c>
      <c r="N131" s="1692">
        <f>KK49</f>
        <v>0</v>
      </c>
      <c r="O131" s="1693">
        <f>KL49</f>
        <v>0</v>
      </c>
      <c r="P131" s="1703">
        <f t="shared" si="367"/>
        <v>76</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9"/>
      <c r="D132" s="3559"/>
      <c r="E132" s="81"/>
      <c r="F132" s="1"/>
      <c r="G132" s="62"/>
      <c r="H132" s="1406" t="s">
        <v>6292</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9"/>
      <c r="D133" s="3559"/>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9"/>
      <c r="D134" s="3559"/>
      <c r="E134" s="81"/>
      <c r="F134" s="1"/>
      <c r="G134" s="62"/>
      <c r="H134" s="1406" t="s">
        <v>6484</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9"/>
      <c r="D135" s="3559"/>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9"/>
      <c r="D136" s="3559"/>
      <c r="E136" s="81" t="s">
        <v>6479</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9"/>
      <c r="D137" s="3559"/>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9"/>
      <c r="D138" s="3559"/>
      <c r="E138" s="81" t="s">
        <v>6480</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9"/>
      <c r="D139" s="3559"/>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9"/>
      <c r="D140" s="3559"/>
      <c r="E140" s="81" t="s">
        <v>6286</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9"/>
      <c r="D141" s="3559"/>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9"/>
      <c r="D142" s="3559"/>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3"/>
      <c r="T143" s="3574"/>
      <c r="U143" s="3574"/>
      <c r="V143" s="3574"/>
      <c r="W143" s="357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97" t="str">
        <f>$O$53</f>
        <v>40% of Units at 60% of AMI</v>
      </c>
      <c r="M145" s="3598"/>
      <c r="N145" s="3598"/>
      <c r="O145" s="3599"/>
      <c r="P145" s="62"/>
      <c r="S145" s="3596" t="str">
        <f>B145</f>
        <v>UNIT SUMMARY (Continued)</v>
      </c>
      <c r="T145" s="3596"/>
      <c r="U145" s="3596"/>
      <c r="V145" s="359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8" t="s">
        <v>6491</v>
      </c>
      <c r="D147" s="355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3"/>
      <c r="T147" s="3564"/>
      <c r="U147" s="3564"/>
      <c r="V147" s="3564"/>
      <c r="W147" s="356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9"/>
      <c r="D148" s="3559"/>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9"/>
      <c r="D149" s="3559"/>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9"/>
      <c r="D150" s="3559"/>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9"/>
      <c r="D151" s="3559"/>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9"/>
      <c r="D152" s="3559"/>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9"/>
      <c r="D153" s="3559"/>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40</v>
      </c>
      <c r="L154" s="1696">
        <f t="shared" si="371"/>
        <v>36</v>
      </c>
      <c r="M154" s="1696">
        <f t="shared" si="371"/>
        <v>0</v>
      </c>
      <c r="N154" s="1696">
        <f t="shared" si="371"/>
        <v>0</v>
      </c>
      <c r="O154" s="1697">
        <f t="shared" si="371"/>
        <v>0</v>
      </c>
      <c r="P154" s="1698">
        <f t="shared" si="369"/>
        <v>76</v>
      </c>
      <c r="Q154" s="3572" t="s">
        <v>3889</v>
      </c>
      <c r="S154" s="3573"/>
      <c r="T154" s="3574"/>
      <c r="U154" s="3574"/>
      <c r="V154" s="3574"/>
      <c r="W154" s="357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572"/>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3675</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3"/>
      <c r="T157" s="3564"/>
      <c r="U157" s="3564"/>
      <c r="V157" s="3564"/>
      <c r="W157" s="356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3676</v>
      </c>
      <c r="I158" s="33"/>
      <c r="J158" s="62"/>
      <c r="K158" s="1163">
        <f>EN49</f>
        <v>0</v>
      </c>
      <c r="L158" s="1164">
        <f>EO49</f>
        <v>0</v>
      </c>
      <c r="M158" s="1164">
        <f>EP49</f>
        <v>0</v>
      </c>
      <c r="N158" s="1164">
        <f>EQ49</f>
        <v>0</v>
      </c>
      <c r="O158" s="1165">
        <f>ER49</f>
        <v>0</v>
      </c>
      <c r="P158" s="1088">
        <f t="shared" si="372"/>
        <v>0</v>
      </c>
      <c r="Q158" s="1291"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10610</v>
      </c>
      <c r="L159" s="1164">
        <f>ET49</f>
        <v>13314</v>
      </c>
      <c r="M159" s="1164">
        <f>EU49</f>
        <v>0</v>
      </c>
      <c r="N159" s="1164">
        <f>EV49</f>
        <v>0</v>
      </c>
      <c r="O159" s="1165">
        <f>EW49</f>
        <v>0</v>
      </c>
      <c r="P159" s="1088">
        <f t="shared" si="372"/>
        <v>23924</v>
      </c>
      <c r="Q159" s="1291">
        <f t="shared" si="373"/>
        <v>556.37209302325584</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3341</v>
      </c>
      <c r="L160" s="1224">
        <f>EY49</f>
        <v>3804</v>
      </c>
      <c r="M160" s="1224">
        <f>EZ49</f>
        <v>0</v>
      </c>
      <c r="N160" s="1224">
        <f>FA49</f>
        <v>0</v>
      </c>
      <c r="O160" s="1225">
        <f>FB49</f>
        <v>0</v>
      </c>
      <c r="P160" s="1226">
        <f t="shared" si="372"/>
        <v>7145</v>
      </c>
      <c r="Q160" s="1291">
        <f t="shared" si="373"/>
        <v>549.61538461538464</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3677</v>
      </c>
      <c r="I161" s="33"/>
      <c r="J161" s="912"/>
      <c r="K161" s="1163">
        <f>FC49</f>
        <v>0</v>
      </c>
      <c r="L161" s="1164">
        <f>FD49</f>
        <v>0</v>
      </c>
      <c r="M161" s="1164">
        <f>FE49</f>
        <v>0</v>
      </c>
      <c r="N161" s="1164">
        <f>FF49</f>
        <v>0</v>
      </c>
      <c r="O161" s="1165">
        <f>FG49</f>
        <v>0</v>
      </c>
      <c r="P161" s="1088">
        <f t="shared" si="372"/>
        <v>0</v>
      </c>
      <c r="Q161" s="1291"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3678</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3760</v>
      </c>
      <c r="I164" s="73"/>
      <c r="J164" s="1098"/>
      <c r="K164" s="1690">
        <f>SUM(K157:K163)</f>
        <v>13951</v>
      </c>
      <c r="L164" s="1690">
        <f>SUM(L157:L163)</f>
        <v>17118</v>
      </c>
      <c r="M164" s="1690">
        <f>SUM(M157:M163)</f>
        <v>0</v>
      </c>
      <c r="N164" s="1690">
        <f>SUM(N157:N163)</f>
        <v>0</v>
      </c>
      <c r="O164" s="1690">
        <f>SUM(O157:O163)</f>
        <v>0</v>
      </c>
      <c r="P164" s="1690">
        <f>SUM(K164:O164)</f>
        <v>31069</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5305</v>
      </c>
      <c r="L165" s="1167">
        <f>FS49</f>
        <v>5706</v>
      </c>
      <c r="M165" s="1167">
        <f>FT49</f>
        <v>0</v>
      </c>
      <c r="N165" s="1167">
        <f>FU49</f>
        <v>0</v>
      </c>
      <c r="O165" s="1168">
        <f>FV49</f>
        <v>0</v>
      </c>
      <c r="P165" s="1095">
        <f>SUM(K165:O165)</f>
        <v>11011</v>
      </c>
      <c r="Q165" s="1234">
        <f>IF(OR(P64=0,P64=""),"",P165/P64)</f>
        <v>550.54999999999995</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19256</v>
      </c>
      <c r="L166" s="1689">
        <f>SUM(L164:L165)</f>
        <v>22824</v>
      </c>
      <c r="M166" s="1689">
        <f>SUM(M164:M165)</f>
        <v>0</v>
      </c>
      <c r="N166" s="1689">
        <f>SUM(N164:N165)</f>
        <v>0</v>
      </c>
      <c r="O166" s="1689">
        <f>SUM(O164:O165)</f>
        <v>0</v>
      </c>
      <c r="P166" s="1689">
        <f>SUM(K166:O166)</f>
        <v>42080</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19256</v>
      </c>
      <c r="L168" s="1094">
        <f>SUM(L166:L167)</f>
        <v>22824</v>
      </c>
      <c r="M168" s="1094">
        <f>SUM(M166:M167)</f>
        <v>0</v>
      </c>
      <c r="N168" s="1094">
        <f>SUM(N166:N167)</f>
        <v>0</v>
      </c>
      <c r="O168" s="1094">
        <f>SUM(O166:O167)</f>
        <v>0</v>
      </c>
      <c r="P168" s="1094">
        <f>SUM(K168:O168)</f>
        <v>42080</v>
      </c>
      <c r="S168" s="3573"/>
      <c r="T168" s="3574"/>
      <c r="U168" s="3574"/>
      <c r="V168" s="3574"/>
      <c r="W168" s="357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f>IF(OR(K67="",K67=0),"",K168/K67)</f>
        <v>481.4</v>
      </c>
      <c r="L171" s="1290">
        <f>IF(OR(L67="",L67=0),"",L168/L67)</f>
        <v>634</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655">
        <v>36940</v>
      </c>
      <c r="L174" s="3656"/>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3">
        <f>P168+K174</f>
        <v>79020</v>
      </c>
      <c r="L175" s="3654"/>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4">
        <f>'Part VI-Pro Forma'!B10*M50</f>
        <v>13141.92</v>
      </c>
      <c r="I179" s="3554"/>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3"/>
      <c r="T183" s="3564"/>
      <c r="U183" s="3564"/>
      <c r="V183" s="3564"/>
      <c r="W183" s="3565"/>
    </row>
    <row r="184" spans="1:493" ht="15.6" customHeight="1">
      <c r="B184" s="81" t="s">
        <v>690</v>
      </c>
      <c r="C184" s="3603"/>
      <c r="D184" s="3604"/>
      <c r="E184" s="3604"/>
      <c r="F184" s="3605"/>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3"/>
      <c r="T185" s="3574"/>
      <c r="U185" s="3574"/>
      <c r="V185" s="3574"/>
      <c r="W185" s="3575"/>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3"/>
      <c r="T187" s="3564"/>
      <c r="U187" s="3564"/>
      <c r="V187" s="3564"/>
      <c r="W187" s="3565"/>
    </row>
    <row r="188" spans="1:493" ht="15.6" customHeight="1">
      <c r="B188" s="81" t="s">
        <v>690</v>
      </c>
      <c r="C188" s="3603"/>
      <c r="D188" s="3604"/>
      <c r="E188" s="3604"/>
      <c r="F188" s="3605"/>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3"/>
      <c r="T189" s="3574"/>
      <c r="U189" s="3574"/>
      <c r="V189" s="3574"/>
      <c r="W189" s="357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3"/>
      <c r="T192" s="3564"/>
      <c r="U192" s="3564"/>
      <c r="V192" s="3564"/>
      <c r="W192" s="356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3"/>
      <c r="T194" s="3574"/>
      <c r="U194" s="3574"/>
      <c r="V194" s="3574"/>
      <c r="W194" s="357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3"/>
      <c r="T196" s="3564"/>
      <c r="U196" s="3564"/>
      <c r="V196" s="3564"/>
      <c r="W196" s="356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3"/>
      <c r="T198" s="3574"/>
      <c r="U198" s="3574"/>
      <c r="V198" s="3574"/>
      <c r="W198" s="357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3"/>
      <c r="T201" s="3564"/>
      <c r="U201" s="3564"/>
      <c r="V201" s="3564"/>
      <c r="W201" s="356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3"/>
      <c r="T203" s="3574"/>
      <c r="U203" s="3574"/>
      <c r="V203" s="3574"/>
      <c r="W203" s="357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3"/>
      <c r="T205" s="3564"/>
      <c r="U205" s="3564"/>
      <c r="V205" s="3564"/>
      <c r="W205" s="356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3"/>
      <c r="T207" s="3574"/>
      <c r="U207" s="3574"/>
      <c r="V207" s="3574"/>
      <c r="W207" s="357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3"/>
      <c r="T210" s="3564"/>
      <c r="U210" s="3564"/>
      <c r="V210" s="3564"/>
      <c r="W210" s="3565"/>
    </row>
    <row r="211" spans="1:493" ht="15.6" customHeight="1">
      <c r="B211" s="81" t="s">
        <v>690</v>
      </c>
      <c r="C211" s="3603"/>
      <c r="D211" s="3604"/>
      <c r="E211" s="3604"/>
      <c r="F211" s="3605"/>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3"/>
      <c r="T212" s="3574"/>
      <c r="U212" s="3574"/>
      <c r="V212" s="3574"/>
      <c r="W212" s="3575"/>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3"/>
      <c r="T214" s="3564"/>
      <c r="U214" s="3564"/>
      <c r="V214" s="3564"/>
      <c r="W214" s="3565"/>
    </row>
    <row r="215" spans="1:493" ht="15.6" customHeight="1">
      <c r="B215" s="81" t="s">
        <v>690</v>
      </c>
      <c r="C215" s="3603"/>
      <c r="D215" s="3604"/>
      <c r="E215" s="3604"/>
      <c r="F215" s="3605"/>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3"/>
      <c r="T216" s="3574"/>
      <c r="U216" s="3574"/>
      <c r="V216" s="3574"/>
      <c r="W216" s="357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31166</v>
      </c>
      <c r="R220" s="1"/>
      <c r="S220" s="3563"/>
      <c r="T220" s="3564"/>
      <c r="U220" s="3564"/>
      <c r="V220" s="3564"/>
      <c r="W220" s="356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5">
        <v>60000</v>
      </c>
      <c r="G221" s="3626"/>
      <c r="H221" s="1"/>
      <c r="I221" s="1" t="s">
        <v>1300</v>
      </c>
      <c r="K221" s="1"/>
      <c r="L221" s="3625"/>
      <c r="M221" s="3626"/>
      <c r="N221" s="1"/>
      <c r="O221" s="319">
        <f>+Q220/(P67*0.93)</f>
        <v>440.9451046972269</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0">
        <v>48000</v>
      </c>
      <c r="G222" s="3601"/>
      <c r="H222" s="1"/>
      <c r="I222" s="1" t="s">
        <v>1301</v>
      </c>
      <c r="K222" s="1"/>
      <c r="L222" s="3628"/>
      <c r="M222" s="3629"/>
      <c r="N222" s="1"/>
      <c r="O222" s="319">
        <f>+Q220/(P67*0.93)/12</f>
        <v>36.745425391435575</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0">
        <v>30000</v>
      </c>
      <c r="G223" s="3601"/>
      <c r="H223" s="1"/>
      <c r="I223" s="1"/>
      <c r="K223" s="8" t="s">
        <v>184</v>
      </c>
      <c r="L223" s="3632">
        <f>SUM(L221:M222)</f>
        <v>0</v>
      </c>
      <c r="M223" s="3633"/>
      <c r="N223" s="1"/>
      <c r="O223" s="29" t="s">
        <v>3222</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00"/>
      <c r="G224" s="3601"/>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00"/>
      <c r="G225" s="3601"/>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9" t="s">
        <v>46</v>
      </c>
      <c r="C226" s="3610"/>
      <c r="D226" s="3610"/>
      <c r="E226" s="3611"/>
      <c r="F226" s="3628"/>
      <c r="G226" s="3629"/>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2">
        <f>SUM(F221:G226)</f>
        <v>138000</v>
      </c>
      <c r="G227" s="3633"/>
      <c r="H227" s="1"/>
      <c r="I227" s="1" t="s">
        <v>1497</v>
      </c>
      <c r="K227" s="1"/>
      <c r="L227" s="3612">
        <v>1200</v>
      </c>
      <c r="M227" s="3613"/>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8400</v>
      </c>
      <c r="M228" s="3615"/>
      <c r="N228" s="3627" t="str">
        <f>IF(Q230="","",IF(Q228&lt;Q230, "WARNING! OE below required minimum.",""))</f>
        <v/>
      </c>
      <c r="O228" s="4" t="s">
        <v>2029</v>
      </c>
      <c r="P228" s="1"/>
      <c r="Q228" s="326">
        <f>F227+F236+F247+L223+L231+L241+L247+Q220</f>
        <v>418366</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c r="M229" s="3615"/>
      <c r="N229" s="3627"/>
      <c r="O229" s="42" t="s">
        <v>2486</v>
      </c>
      <c r="P229" s="319">
        <f>+Q228/P67</f>
        <v>5504.8157894736842</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5">
        <v>2400</v>
      </c>
      <c r="G230" s="3626"/>
      <c r="H230" s="1"/>
      <c r="I230" s="3618" t="s">
        <v>46</v>
      </c>
      <c r="J230" s="3619"/>
      <c r="K230" s="3620"/>
      <c r="L230" s="3630"/>
      <c r="M230" s="3631"/>
      <c r="N230" s="3627"/>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342000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0">
        <v>2400</v>
      </c>
      <c r="G231" s="3601"/>
      <c r="H231" s="1"/>
      <c r="I231" s="4"/>
      <c r="K231" s="8" t="s">
        <v>184</v>
      </c>
      <c r="L231" s="3634">
        <f>SUM(L227:L230)</f>
        <v>9600</v>
      </c>
      <c r="M231" s="3635"/>
      <c r="N231" s="3627"/>
      <c r="O231" s="3640" t="s">
        <v>6723</v>
      </c>
      <c r="P231" s="3640"/>
      <c r="Q231" s="3640"/>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0">
        <v>600</v>
      </c>
      <c r="G232" s="3601"/>
      <c r="H232" s="1"/>
      <c r="N232" s="1"/>
      <c r="O232" s="3640"/>
      <c r="P232" s="3640"/>
      <c r="Q232" s="3640"/>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0">
        <v>600</v>
      </c>
      <c r="G233" s="3601"/>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0">
        <v>1800</v>
      </c>
      <c r="G234" s="3601"/>
      <c r="H234" s="1"/>
      <c r="I234" s="4" t="s">
        <v>1297</v>
      </c>
      <c r="K234" s="248" t="s">
        <v>3882</v>
      </c>
      <c r="O234" s="1312" t="s">
        <v>3085</v>
      </c>
      <c r="P234" s="4"/>
      <c r="Q234" s="917">
        <v>31920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9" t="s">
        <v>46</v>
      </c>
      <c r="C235" s="3610"/>
      <c r="D235" s="3610"/>
      <c r="E235" s="3611"/>
      <c r="F235" s="3628"/>
      <c r="G235" s="3629"/>
      <c r="H235" s="1"/>
      <c r="I235" s="1" t="s">
        <v>1290</v>
      </c>
      <c r="K235" s="365">
        <f>L235/12/P67</f>
        <v>75</v>
      </c>
      <c r="L235" s="3612">
        <v>68400</v>
      </c>
      <c r="M235" s="3613"/>
      <c r="N235" s="3627" t="str">
        <f>IF(Q234&lt;Q243, "WARNING! RR proposed is below the DCA required minimum.","")</f>
        <v/>
      </c>
      <c r="O235" s="772" t="s">
        <v>3881</v>
      </c>
      <c r="P235" s="767"/>
      <c r="Q235" s="773" t="e">
        <f>Q234/P243</f>
        <v>#DIV/0!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2">
        <f>SUM(F230:G235)</f>
        <v>7800</v>
      </c>
      <c r="G236" s="3633"/>
      <c r="H236" s="1"/>
      <c r="I236" s="1" t="s">
        <v>1291</v>
      </c>
      <c r="K236" s="365">
        <f>L236/12/P67</f>
        <v>0</v>
      </c>
      <c r="L236" s="3614"/>
      <c r="M236" s="3615"/>
      <c r="N236" s="3644"/>
      <c r="O236" s="3645" t="s">
        <v>3229</v>
      </c>
      <c r="P236" s="3646"/>
      <c r="Q236" s="3647"/>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25</v>
      </c>
      <c r="L237" s="3614">
        <v>22800</v>
      </c>
      <c r="M237" s="3615"/>
      <c r="N237" s="3644"/>
      <c r="O237" s="766" t="s">
        <v>2464</v>
      </c>
      <c r="P237" s="669" t="s">
        <v>3283</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6.5789473684210522</v>
      </c>
      <c r="L238" s="3614">
        <v>6000</v>
      </c>
      <c r="M238" s="3615"/>
      <c r="N238" s="3644"/>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8">
        <v>12000</v>
      </c>
      <c r="G239" s="3649"/>
      <c r="H239" s="1"/>
      <c r="I239" s="72" t="s">
        <v>6680</v>
      </c>
      <c r="K239" s="365">
        <f>L239/12/P67</f>
        <v>3.2894736842105261</v>
      </c>
      <c r="L239" s="3614">
        <v>3000</v>
      </c>
      <c r="M239" s="3615"/>
      <c r="N239" s="3644"/>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6">
        <v>18000</v>
      </c>
      <c r="G240" s="3637"/>
      <c r="H240" s="1"/>
      <c r="I240" s="3621" t="s">
        <v>46</v>
      </c>
      <c r="J240" s="3622"/>
      <c r="K240" s="365">
        <f>L240/12/P67</f>
        <v>0</v>
      </c>
      <c r="L240" s="3630"/>
      <c r="M240" s="3631"/>
      <c r="N240" s="3644"/>
      <c r="O240" s="387" t="s">
        <v>3051</v>
      </c>
      <c r="P240" s="673" t="str">
        <f>CONCATENATE(SUM(MK49:MO49)," units x $",'DCA Underwriting Assumptions'!$Q$29," =")</f>
        <v>0 units x $250 =</v>
      </c>
      <c r="Q240" s="501">
        <f>SUM(MK49:MO49)*'DCA Underwriting Assumptions'!$Q$29</f>
        <v>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6">
        <v>3600</v>
      </c>
      <c r="G241" s="3637"/>
      <c r="H241" s="1"/>
      <c r="K241" s="8" t="s">
        <v>184</v>
      </c>
      <c r="L241" s="3634">
        <f>SUM(L235:L240)</f>
        <v>100200</v>
      </c>
      <c r="M241" s="3635"/>
      <c r="N241" s="3644"/>
      <c r="O241" s="502" t="s">
        <v>6497</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0">
        <v>2400</v>
      </c>
      <c r="G242" s="3601"/>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0">
        <v>3600</v>
      </c>
      <c r="G243" s="3601"/>
      <c r="H243" s="1"/>
      <c r="I243" s="4" t="s">
        <v>1298</v>
      </c>
      <c r="O243" s="769" t="s">
        <v>2467</v>
      </c>
      <c r="P243" s="770">
        <f>SUM(MF49:MJ49)+SUM(MK49:MO49)+SUM(MP49:MT49)+P125</f>
        <v>0</v>
      </c>
      <c r="Q243" s="771">
        <f>SUM(Q239:Q242)</f>
        <v>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0">
        <v>5000</v>
      </c>
      <c r="G244" s="3601"/>
      <c r="H244" s="1"/>
      <c r="I244" s="72" t="s">
        <v>3928</v>
      </c>
      <c r="K244" s="1"/>
      <c r="L244" s="3612">
        <v>0</v>
      </c>
      <c r="M244" s="3613"/>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0">
        <v>12000</v>
      </c>
      <c r="G245" s="3601"/>
      <c r="H245" s="1"/>
      <c r="I245" s="1" t="s">
        <v>140</v>
      </c>
      <c r="K245" s="1"/>
      <c r="L245" s="3614">
        <v>75000</v>
      </c>
      <c r="M245" s="3615"/>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9" t="s">
        <v>46</v>
      </c>
      <c r="C246" s="3610"/>
      <c r="D246" s="3610"/>
      <c r="E246" s="3611"/>
      <c r="F246" s="3628"/>
      <c r="G246" s="3629"/>
      <c r="H246" s="1"/>
      <c r="I246" s="3618" t="s">
        <v>46</v>
      </c>
      <c r="J246" s="3619"/>
      <c r="K246" s="3620"/>
      <c r="L246" s="3616"/>
      <c r="M246" s="3617"/>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2">
        <f>SUM(F239:G246)</f>
        <v>56600</v>
      </c>
      <c r="G247" s="3643"/>
      <c r="H247" s="1"/>
      <c r="K247" s="8" t="s">
        <v>184</v>
      </c>
      <c r="L247" s="3634">
        <f>SUM(L243:L246)</f>
        <v>75000</v>
      </c>
      <c r="M247" s="3641"/>
      <c r="N247" s="1"/>
      <c r="O247" s="4" t="s">
        <v>2030</v>
      </c>
      <c r="P247" s="1"/>
      <c r="Q247" s="326">
        <f>Q228+Q234</f>
        <v>450286</v>
      </c>
      <c r="R247" s="673"/>
      <c r="S247" s="3573"/>
      <c r="T247" s="3574"/>
      <c r="U247" s="3574"/>
      <c r="V247" s="3574"/>
      <c r="W247" s="357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21" t="s">
        <v>3872</v>
      </c>
      <c r="K251" s="3570">
        <v>0</v>
      </c>
      <c r="L251" s="3571"/>
      <c r="M251" s="1284" t="s">
        <v>3899</v>
      </c>
      <c r="N251" s="1222">
        <v>75</v>
      </c>
      <c r="O251" s="4" t="s">
        <v>3874</v>
      </c>
      <c r="P251" s="1"/>
      <c r="Q251" s="1242">
        <f>K251*N251</f>
        <v>0</v>
      </c>
      <c r="R251" s="671"/>
      <c r="S251" s="3650"/>
      <c r="T251" s="3651"/>
      <c r="U251" s="3651"/>
      <c r="V251" s="3651"/>
      <c r="W251" s="365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2652</v>
      </c>
      <c r="K253" s="1221" t="s">
        <v>3902</v>
      </c>
      <c r="L253" s="1265" t="s">
        <v>1646</v>
      </c>
      <c r="M253" s="53" t="s">
        <v>3903</v>
      </c>
      <c r="N253" s="1222"/>
      <c r="O253" s="72" t="s">
        <v>3901</v>
      </c>
      <c r="P253" s="1"/>
      <c r="Q253" s="1285"/>
      <c r="R253" s="671"/>
      <c r="S253" s="3650"/>
      <c r="T253" s="3651"/>
      <c r="U253" s="3651"/>
      <c r="V253" s="3651"/>
      <c r="W253" s="365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639" t="s">
        <v>7108</v>
      </c>
      <c r="B256" s="3639"/>
      <c r="C256" s="3639"/>
      <c r="D256" s="3639"/>
      <c r="E256" s="3639"/>
      <c r="F256" s="3639"/>
      <c r="G256" s="3639"/>
      <c r="H256" s="3639"/>
      <c r="I256" s="3639"/>
      <c r="J256" s="3639"/>
      <c r="K256" s="3639"/>
      <c r="L256" s="3639"/>
      <c r="M256" s="3639"/>
      <c r="N256" s="3638"/>
      <c r="O256" s="3638"/>
      <c r="P256" s="3638"/>
      <c r="Q256" s="3638"/>
      <c r="R256" s="3047" t="s">
        <v>3372</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2" priority="5" operator="equal">
      <formula>"Finish Row!"</formula>
    </cfRule>
  </conditionalFormatting>
  <conditionalFormatting sqref="A11:A48">
    <cfRule type="cellIs" dxfId="171" priority="33" stopIfTrue="1" operator="equal">
      <formula>1</formula>
    </cfRule>
  </conditionalFormatting>
  <conditionalFormatting sqref="B50:C50">
    <cfRule type="cellIs" dxfId="170"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9" priority="23" operator="equal">
      <formula>0</formula>
    </cfRule>
  </conditionalFormatting>
  <conditionalFormatting sqref="K130:P135">
    <cfRule type="cellIs" dxfId="168" priority="2" operator="equal">
      <formula>0</formula>
    </cfRule>
  </conditionalFormatting>
  <conditionalFormatting sqref="K136:P168">
    <cfRule type="cellIs" dxfId="167" priority="14" operator="equal">
      <formula>0</formula>
    </cfRule>
  </conditionalFormatting>
  <conditionalFormatting sqref="L102:O102">
    <cfRule type="cellIs" dxfId="166" priority="8" operator="equal">
      <formula>"&lt;&lt; Select LIHTC Election &gt;&gt;"</formula>
    </cfRule>
    <cfRule type="containsText" dxfId="165" priority="12" operator="containsText" text="&lt;&lt; Select Election or Income Averaging &gt;&gt;">
      <formula>NOT(ISERROR(SEARCH("&lt;&lt; Select Election or Income Averaging &gt;&gt;",L102)))</formula>
    </cfRule>
  </conditionalFormatting>
  <conditionalFormatting sqref="L145:O145">
    <cfRule type="cellIs" dxfId="164" priority="7" operator="equal">
      <formula>"&lt;&lt; Select LIHTC Election &gt;&gt;"</formula>
    </cfRule>
    <cfRule type="containsText" dxfId="163" priority="10" operator="containsText" text="&lt;&lt; Select Election or Income Averaging &gt;&gt;">
      <formula>NOT(ISERROR(SEARCH("&lt;&lt; Select Election or Income Averaging &gt;&gt;",L145)))</formula>
    </cfRule>
  </conditionalFormatting>
  <conditionalFormatting sqref="P179">
    <cfRule type="cellIs" dxfId="162" priority="29" operator="greaterThan">
      <formula>0.02</formula>
    </cfRule>
  </conditionalFormatting>
  <conditionalFormatting sqref="Q11:Q19 Q24:Q48">
    <cfRule type="expression" dxfId="161" priority="27">
      <formula>AND($P$11="New Construction",$Q$11="Yes")</formula>
    </cfRule>
  </conditionalFormatting>
  <conditionalFormatting sqref="U69">
    <cfRule type="cellIs" dxfId="160" priority="4" stopIfTrue="1" operator="greaterThan">
      <formula>0</formula>
    </cfRule>
  </conditionalFormatting>
  <conditionalFormatting sqref="U91:U92 U101:U103 U112 U126">
    <cfRule type="cellIs" dxfId="159" priority="32" stopIfTrue="1" operator="greaterThan">
      <formula>0</formula>
    </cfRule>
  </conditionalFormatting>
  <conditionalFormatting sqref="U155">
    <cfRule type="cellIs" dxfId="158" priority="15" stopIfTrue="1" operator="greaterThan">
      <formula>0</formula>
    </cfRule>
  </conditionalFormatting>
  <conditionalFormatting sqref="Q20:Q23">
    <cfRule type="expression" dxfId="157" priority="1">
      <formula>AND($P$11="New Construction",$Q$11="Yes")</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119" zoomScaleNormal="100" workbookViewId="0">
      <selection activeCell="B23" sqref="B2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 customHeight="1">
      <c r="A2" s="3672" t="str">
        <f>CONCATENATE("PART SIX - OPERATING PRO FORMA","  -  ",'Part I-Project Identification'!$O$7," ",'Part I-Project Identification'!$F$25,", ",'Part I-Project Identification'!F26,", ",'Part I-Project Identification'!J26," County")</f>
        <v>PART SIX - OPERATING PRO FORMA  -  2023-0 Freedom's Path Augusta III, Augusta, Richmond County</v>
      </c>
      <c r="B2" s="3673"/>
      <c r="C2" s="3673"/>
      <c r="D2" s="3673"/>
      <c r="E2" s="3673"/>
      <c r="F2" s="3673"/>
      <c r="G2" s="3673"/>
      <c r="H2" s="3673"/>
      <c r="I2" s="3673"/>
      <c r="J2" s="3673"/>
      <c r="K2" s="3674"/>
      <c r="L2" s="4"/>
      <c r="M2" s="4"/>
      <c r="N2" s="3675" t="str">
        <f>A2</f>
        <v>PART SIX - OPERATING PRO FORMA  -  2023-0 Freedom's Path Augusta III, Augusta, Richmond County</v>
      </c>
      <c r="O2" s="3675"/>
      <c r="P2" s="4"/>
      <c r="AA2" s="1721">
        <v>2</v>
      </c>
    </row>
    <row r="3" spans="1:27" ht="13.5" customHeight="1">
      <c r="A3" s="382"/>
      <c r="B3" s="382"/>
      <c r="C3" s="382"/>
      <c r="D3" s="382"/>
      <c r="E3" s="382"/>
      <c r="F3" s="382"/>
      <c r="G3" s="382"/>
      <c r="H3" s="382"/>
      <c r="I3" s="382"/>
      <c r="J3" s="382"/>
      <c r="K3" s="382"/>
      <c r="N3" s="3537" t="s">
        <v>1711</v>
      </c>
      <c r="O3" s="3537"/>
      <c r="AA3" s="1721">
        <v>3</v>
      </c>
    </row>
    <row r="4" spans="1:27" ht="13.5" customHeight="1">
      <c r="A4" s="10" t="s">
        <v>85</v>
      </c>
      <c r="C4" s="3676" t="str">
        <f>'Part I-Project Identification'!$A$6</f>
        <v>April 2023</v>
      </c>
      <c r="D4" s="944" t="s">
        <v>75</v>
      </c>
      <c r="E4" s="180"/>
      <c r="F4" s="945" t="s">
        <v>3401</v>
      </c>
      <c r="N4" s="10" t="str">
        <f>A4</f>
        <v>I.  OPERATING ASSUMPTIONS</v>
      </c>
      <c r="O4" s="10"/>
      <c r="AA4" s="1721">
        <v>4</v>
      </c>
    </row>
    <row r="5" spans="1:27" ht="2.65" customHeight="1">
      <c r="C5" s="3676"/>
      <c r="AA5" s="1721">
        <v>5</v>
      </c>
    </row>
    <row r="6" spans="1:27" ht="13.5" customHeight="1">
      <c r="A6" s="6" t="s">
        <v>2031</v>
      </c>
      <c r="B6" s="58">
        <f>'DCA Underwriting Assumptions'!$Q$99</f>
        <v>0.02</v>
      </c>
      <c r="C6" s="3676"/>
      <c r="D6" s="3559" t="s">
        <v>3402</v>
      </c>
      <c r="E6" s="3559"/>
      <c r="F6" s="3559"/>
      <c r="G6" s="59">
        <v>9500</v>
      </c>
      <c r="H6" s="75" t="s">
        <v>1768</v>
      </c>
      <c r="K6" s="80">
        <f>IF(($B$15+$B$16+$B$17+$B$18)=0,"",B31/($B$15+$B$16+$B$17+$B$18))</f>
        <v>-1.5240936775765924E-2</v>
      </c>
      <c r="N6" s="3563"/>
      <c r="O6" s="3565"/>
      <c r="AA6" s="1721">
        <v>6</v>
      </c>
    </row>
    <row r="7" spans="1:27">
      <c r="A7" s="6" t="s">
        <v>2032</v>
      </c>
      <c r="B7" s="58">
        <f>'DCA Underwriting Assumptions'!$Q$102</f>
        <v>0.03</v>
      </c>
      <c r="C7" s="3676"/>
      <c r="D7" s="3559"/>
      <c r="E7" s="3559"/>
      <c r="F7" s="3559"/>
      <c r="G7" s="946">
        <f>IF(OR('Part II-Sources of Funds'!E6="Yes",'Part II-Sources of Funds'!I6&gt;0),'DCA Underwriting Assumptions'!$Q$64,0)</f>
        <v>0</v>
      </c>
      <c r="N7" s="3560"/>
      <c r="O7" s="3562"/>
      <c r="AA7" s="1721">
        <v>7</v>
      </c>
    </row>
    <row r="8" spans="1:27">
      <c r="A8" s="6" t="s">
        <v>2034</v>
      </c>
      <c r="B8" s="58">
        <f>'DCA Underwriting Assumptions'!$Q$103</f>
        <v>0.03</v>
      </c>
      <c r="C8" s="3676"/>
      <c r="D8" s="1" t="s">
        <v>258</v>
      </c>
      <c r="G8" s="61"/>
      <c r="H8" s="75" t="s">
        <v>2191</v>
      </c>
      <c r="K8" s="80">
        <f>IF(($B$15+$B$16+$B$17+$B$18)=0,"",-B22/($B$15+$B$16+$B$17+$B$18))</f>
        <v>4.9999898479317982E-2</v>
      </c>
      <c r="N8" s="3560"/>
      <c r="O8" s="3562"/>
      <c r="AA8" s="1721">
        <v>8</v>
      </c>
    </row>
    <row r="9" spans="1:27" ht="13.35" customHeight="1">
      <c r="A9" s="6" t="s">
        <v>2033</v>
      </c>
      <c r="B9" s="186">
        <v>7.0000000000000007E-2</v>
      </c>
      <c r="C9" s="1213" t="str">
        <f>IF(B9&lt;0.07, "Must be &gt;= 7%!","")</f>
        <v/>
      </c>
      <c r="D9" s="1" t="s">
        <v>2307</v>
      </c>
      <c r="G9" s="1228"/>
      <c r="H9" s="140" t="s">
        <v>1355</v>
      </c>
      <c r="K9" s="1230"/>
      <c r="N9" s="3560"/>
      <c r="O9" s="3562"/>
      <c r="AA9" s="1721">
        <v>9</v>
      </c>
    </row>
    <row r="10" spans="1:27">
      <c r="A10" s="6" t="s">
        <v>1336</v>
      </c>
      <c r="B10" s="58">
        <v>0.02</v>
      </c>
      <c r="D10" s="1" t="s">
        <v>1597</v>
      </c>
      <c r="G10" s="1229" t="s">
        <v>2649</v>
      </c>
      <c r="H10" s="140" t="s">
        <v>2174</v>
      </c>
      <c r="K10" s="1231">
        <v>0.05</v>
      </c>
      <c r="N10" s="3573"/>
      <c r="O10" s="3575"/>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657096</v>
      </c>
      <c r="C15" s="15">
        <f t="shared" ref="C15:K15" si="1">$B$15*(1+$B$6)^(C14-1)</f>
        <v>670237.92000000004</v>
      </c>
      <c r="D15" s="15">
        <f t="shared" si="1"/>
        <v>683642.67839999998</v>
      </c>
      <c r="E15" s="15">
        <f t="shared" si="1"/>
        <v>697315.531968</v>
      </c>
      <c r="F15" s="15">
        <f t="shared" si="1"/>
        <v>711261.84260735998</v>
      </c>
      <c r="G15" s="15">
        <f t="shared" si="1"/>
        <v>725487.07945950725</v>
      </c>
      <c r="H15" s="15">
        <f t="shared" si="1"/>
        <v>739996.82104869734</v>
      </c>
      <c r="I15" s="15">
        <f t="shared" si="1"/>
        <v>754796.7574696712</v>
      </c>
      <c r="J15" s="15">
        <f t="shared" si="1"/>
        <v>769892.69261906471</v>
      </c>
      <c r="K15" s="16">
        <f t="shared" si="1"/>
        <v>785290.54647144594</v>
      </c>
      <c r="N15" s="3563"/>
      <c r="O15" s="3565"/>
      <c r="S15" s="3668" t="s">
        <v>3407</v>
      </c>
      <c r="Z15" s="1719" t="s">
        <v>6459</v>
      </c>
      <c r="AA15" s="1721">
        <v>15</v>
      </c>
    </row>
    <row r="16" spans="1:27" ht="13.35" customHeight="1">
      <c r="A16" s="17" t="s">
        <v>952</v>
      </c>
      <c r="B16" s="18">
        <f>MIN(B15*B10,'Part V-Revenues &amp; Expenses'!$H$179)</f>
        <v>13141.92</v>
      </c>
      <c r="C16" s="18">
        <f t="shared" ref="C16:K16" si="2">$B$16*(1+$B$6)^(C14-1)</f>
        <v>13404.758400000001</v>
      </c>
      <c r="D16" s="18">
        <f t="shared" si="2"/>
        <v>13672.853568</v>
      </c>
      <c r="E16" s="18">
        <f t="shared" si="2"/>
        <v>13946.310639359999</v>
      </c>
      <c r="F16" s="18">
        <f t="shared" si="2"/>
        <v>14225.2368521472</v>
      </c>
      <c r="G16" s="18">
        <f t="shared" si="2"/>
        <v>14509.741589190144</v>
      </c>
      <c r="H16" s="18">
        <f t="shared" si="2"/>
        <v>14799.936420973949</v>
      </c>
      <c r="I16" s="18">
        <f t="shared" si="2"/>
        <v>15095.935149393423</v>
      </c>
      <c r="J16" s="18">
        <f t="shared" si="2"/>
        <v>15397.853852381293</v>
      </c>
      <c r="K16" s="19">
        <f t="shared" si="2"/>
        <v>15705.810929428919</v>
      </c>
      <c r="N16" s="3560"/>
      <c r="O16" s="3562"/>
      <c r="S16" s="3669"/>
      <c r="Z16" s="1719" t="s">
        <v>6459</v>
      </c>
      <c r="AA16" s="1721">
        <v>16</v>
      </c>
    </row>
    <row r="17" spans="1:27" ht="13.35" customHeight="1">
      <c r="A17" s="17" t="s">
        <v>2216</v>
      </c>
      <c r="B17" s="18">
        <f t="shared" ref="B17:K17" si="3">-(B15+B16)*$B$9</f>
        <v>-46916.654400000007</v>
      </c>
      <c r="C17" s="18">
        <f t="shared" si="3"/>
        <v>-47854.987488000013</v>
      </c>
      <c r="D17" s="18">
        <f t="shared" si="3"/>
        <v>-48812.087237760003</v>
      </c>
      <c r="E17" s="18">
        <f t="shared" si="3"/>
        <v>-49788.328982515202</v>
      </c>
      <c r="F17" s="18">
        <f t="shared" si="3"/>
        <v>-50784.095562165501</v>
      </c>
      <c r="G17" s="18">
        <f t="shared" si="3"/>
        <v>-51799.777473408816</v>
      </c>
      <c r="H17" s="18">
        <f t="shared" si="3"/>
        <v>-52835.773022876994</v>
      </c>
      <c r="I17" s="18">
        <f t="shared" si="3"/>
        <v>-53892.488483334528</v>
      </c>
      <c r="J17" s="18">
        <f t="shared" si="3"/>
        <v>-54970.338253001231</v>
      </c>
      <c r="K17" s="19">
        <f t="shared" si="3"/>
        <v>-56069.745018061243</v>
      </c>
      <c r="N17" s="3560"/>
      <c r="O17" s="3562"/>
      <c r="Q17" s="3671" t="s">
        <v>3297</v>
      </c>
      <c r="R17" s="3671" t="s">
        <v>3406</v>
      </c>
      <c r="S17" s="3669"/>
      <c r="Z17" s="1719" t="s">
        <v>6459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1"/>
      <c r="R18" s="3671"/>
      <c r="S18" s="3670"/>
      <c r="Z18" s="1719" t="s">
        <v>6459</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6459</v>
      </c>
      <c r="AA19" s="1721">
        <v>19</v>
      </c>
    </row>
    <row r="20" spans="1:27" ht="13.35" customHeight="1">
      <c r="A20" s="341" t="s">
        <v>3836</v>
      </c>
      <c r="B20" s="18">
        <f>SUM(B15:B19)</f>
        <v>623321.26560000004</v>
      </c>
      <c r="C20" s="18">
        <f t="shared" ref="C20:K20" si="4">SUM(C15:C19)</f>
        <v>635787.69091200014</v>
      </c>
      <c r="D20" s="18">
        <f t="shared" si="4"/>
        <v>648503.44473024004</v>
      </c>
      <c r="E20" s="18">
        <f t="shared" si="4"/>
        <v>661473.51362484484</v>
      </c>
      <c r="F20" s="18">
        <f t="shared" si="4"/>
        <v>674702.98389734165</v>
      </c>
      <c r="G20" s="18">
        <f t="shared" si="4"/>
        <v>688197.0435752885</v>
      </c>
      <c r="H20" s="18">
        <f t="shared" si="4"/>
        <v>701960.98444679426</v>
      </c>
      <c r="I20" s="18">
        <f t="shared" si="4"/>
        <v>716000.20413573005</v>
      </c>
      <c r="J20" s="18">
        <f t="shared" si="4"/>
        <v>730320.20821844484</v>
      </c>
      <c r="K20" s="19">
        <f t="shared" si="4"/>
        <v>744926.61238281359</v>
      </c>
      <c r="N20" s="3560"/>
      <c r="O20" s="3562"/>
      <c r="Z20" s="1719" t="s">
        <v>6459</v>
      </c>
      <c r="AA20" s="1721">
        <v>20</v>
      </c>
    </row>
    <row r="21" spans="1:27" ht="13.35" customHeight="1">
      <c r="A21" s="17" t="s">
        <v>572</v>
      </c>
      <c r="B21" s="18">
        <f>-('Part V-Revenues &amp; Expenses'!$Q$228-'Part V-Revenues &amp; Expenses'!$Q$220)</f>
        <v>-387200</v>
      </c>
      <c r="C21" s="18">
        <f t="shared" ref="C21:K21" si="5">$B$21*(1+$B$7)^(C14-1)</f>
        <v>-398816</v>
      </c>
      <c r="D21" s="18">
        <f t="shared" si="5"/>
        <v>-410780.48</v>
      </c>
      <c r="E21" s="18">
        <f t="shared" si="5"/>
        <v>-423103.89439999999</v>
      </c>
      <c r="F21" s="18">
        <f t="shared" si="5"/>
        <v>-435797.01123199996</v>
      </c>
      <c r="G21" s="18">
        <f t="shared" si="5"/>
        <v>-448870.92156895995</v>
      </c>
      <c r="H21" s="18">
        <f t="shared" si="5"/>
        <v>-462337.04921602877</v>
      </c>
      <c r="I21" s="18">
        <f t="shared" si="5"/>
        <v>-476207.16069250967</v>
      </c>
      <c r="J21" s="18">
        <f t="shared" si="5"/>
        <v>-490493.37551328487</v>
      </c>
      <c r="K21" s="19">
        <f t="shared" si="5"/>
        <v>-505208.17677868344</v>
      </c>
      <c r="N21" s="3560"/>
      <c r="O21" s="3562"/>
      <c r="Q21" s="47">
        <v>1</v>
      </c>
      <c r="R21" s="869">
        <f>-B32</f>
        <v>92931</v>
      </c>
      <c r="S21" s="869">
        <f>B33+R21</f>
        <v>163535.26560000004</v>
      </c>
      <c r="Z21" s="1719" t="s">
        <v>6459</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-31166</v>
      </c>
      <c r="C22" s="18">
        <f>IF(AND('Part VI-Pro Forma'!$G$9="Yes",'Part VI-Pro Forma'!$G$10="Yes"),"Choose One!",IF('Part VI-Pro Forma'!$G$9="Yes",ROUND((-$K$9*(1+'Part VI-Pro Forma'!$B$7)^('Part VI-Pro Forma'!C14-1)),),IF('Part VI-Pro Forma'!$G$10="Yes",ROUND((-(SUM(C15:C18)*'Part VI-Pro Forma'!$K$10)),),"Choose mgt fee")))</f>
        <v>-31789</v>
      </c>
      <c r="D22" s="18">
        <f>IF(AND('Part VI-Pro Forma'!$G$9="Yes",'Part VI-Pro Forma'!$G$10="Yes"),"Choose One!",IF('Part VI-Pro Forma'!$G$9="Yes",ROUND((-$K$9*(1+'Part VI-Pro Forma'!$B$7)^('Part VI-Pro Forma'!D14-1)),),IF('Part VI-Pro Forma'!$G$10="Yes",ROUND((-(SUM(D15:D18)*'Part VI-Pro Forma'!$K$10)),),"Choose mgt fee")))</f>
        <v>-32425</v>
      </c>
      <c r="E22" s="18">
        <f>IF(AND('Part VI-Pro Forma'!$G$9="Yes",'Part VI-Pro Forma'!$G$10="Yes"),"Choose One!",IF('Part VI-Pro Forma'!$G$9="Yes",ROUND((-$K$9*(1+'Part VI-Pro Forma'!$B$7)^('Part VI-Pro Forma'!E14-1)),),IF('Part VI-Pro Forma'!$G$10="Yes",ROUND((-(SUM(E15:E18)*'Part VI-Pro Forma'!$K$10)),),"Choose mgt fee")))</f>
        <v>-33074</v>
      </c>
      <c r="F22" s="18">
        <f>IF(AND('Part VI-Pro Forma'!$G$9="Yes",'Part VI-Pro Forma'!$G$10="Yes"),"Choose One!",IF('Part VI-Pro Forma'!$G$9="Yes",ROUND((-$K$9*(1+'Part VI-Pro Forma'!$B$7)^('Part VI-Pro Forma'!F14-1)),),IF('Part VI-Pro Forma'!$G$10="Yes",ROUND((-(SUM(F15:F18)*'Part VI-Pro Forma'!$K$10)),),"Choose mgt fee")))</f>
        <v>-33735</v>
      </c>
      <c r="G22" s="18">
        <f>IF(AND('Part VI-Pro Forma'!$G$9="Yes",'Part VI-Pro Forma'!$G$10="Yes"),"Choose One!",IF('Part VI-Pro Forma'!$G$9="Yes",ROUND((-$K$9*(1+'Part VI-Pro Forma'!$B$7)^('Part VI-Pro Forma'!G14-1)),),IF('Part VI-Pro Forma'!$G$10="Yes",ROUND((-(SUM(G15:G18)*'Part VI-Pro Forma'!$K$10)),),"Choose mgt fee")))</f>
        <v>-34410</v>
      </c>
      <c r="H22" s="18">
        <f>IF(AND('Part VI-Pro Forma'!$G$9="Yes",'Part VI-Pro Forma'!$G$10="Yes"),"Choose One!",IF('Part VI-Pro Forma'!$G$9="Yes",ROUND((-$K$9*(1+'Part VI-Pro Forma'!$B$7)^('Part VI-Pro Forma'!H14-1)),),IF('Part VI-Pro Forma'!$G$10="Yes",ROUND((-(SUM(H15:H18)*'Part VI-Pro Forma'!$K$10)),),"Choose mgt fee")))</f>
        <v>-35098</v>
      </c>
      <c r="I22" s="18">
        <f>IF(AND('Part VI-Pro Forma'!$G$9="Yes",'Part VI-Pro Forma'!$G$10="Yes"),"Choose One!",IF('Part VI-Pro Forma'!$G$9="Yes",ROUND((-$K$9*(1+'Part VI-Pro Forma'!$B$7)^('Part VI-Pro Forma'!I14-1)),),IF('Part VI-Pro Forma'!$G$10="Yes",ROUND((-(SUM(I15:I18)*'Part VI-Pro Forma'!$K$10)),),"Choose mgt fee")))</f>
        <v>-35800</v>
      </c>
      <c r="J22" s="18">
        <f>IF(AND('Part VI-Pro Forma'!$G$9="Yes",'Part VI-Pro Forma'!$G$10="Yes"),"Choose One!",IF('Part VI-Pro Forma'!$G$9="Yes",ROUND((-$K$9*(1+'Part VI-Pro Forma'!$B$7)^('Part VI-Pro Forma'!J14-1)),),IF('Part VI-Pro Forma'!$G$10="Yes",ROUND((-(SUM(J15:J18)*'Part VI-Pro Forma'!$K$10)),),"Choose mgt fee")))</f>
        <v>-36516</v>
      </c>
      <c r="K22" s="19">
        <f>IF(AND('Part VI-Pro Forma'!$G$9="Yes",'Part VI-Pro Forma'!$G$10="Yes"),"Choose One!",IF('Part VI-Pro Forma'!$G$9="Yes",ROUND((-$K$9*(1+'Part VI-Pro Forma'!$B$7)^('Part VI-Pro Forma'!K14-1)),),IF('Part VI-Pro Forma'!$G$10="Yes",ROUND((-(SUM(K15:K18)*'Part VI-Pro Forma'!$K$10)),),"Choose mgt fee")))</f>
        <v>-37246</v>
      </c>
      <c r="N22" s="3560"/>
      <c r="O22" s="3562"/>
      <c r="Q22" s="47">
        <v>2</v>
      </c>
      <c r="R22" s="869">
        <f>-SUM(B32:C32)</f>
        <v>185862</v>
      </c>
      <c r="S22" s="869">
        <f>SUM(B33:C33)+R22</f>
        <v>326055.3565120002</v>
      </c>
      <c r="Z22" s="1719" t="s">
        <v>6459</v>
      </c>
      <c r="AA22" s="1721">
        <v>22</v>
      </c>
    </row>
    <row r="23" spans="1:27" ht="13.35" customHeight="1">
      <c r="A23" s="17" t="s">
        <v>1128</v>
      </c>
      <c r="B23" s="18">
        <f>-('Part V-Revenues &amp; Expenses'!$Q$234)</f>
        <v>-31920</v>
      </c>
      <c r="C23" s="18">
        <f t="shared" ref="C23:K23" si="6">$B$23*(1+$B$8)^(C14-1)</f>
        <v>-32877.599999999999</v>
      </c>
      <c r="D23" s="18">
        <f t="shared" si="6"/>
        <v>-33863.928</v>
      </c>
      <c r="E23" s="18">
        <f t="shared" si="6"/>
        <v>-34879.845840000002</v>
      </c>
      <c r="F23" s="18">
        <f t="shared" si="6"/>
        <v>-35926.241215199996</v>
      </c>
      <c r="G23" s="18">
        <f t="shared" si="6"/>
        <v>-37004.028451655999</v>
      </c>
      <c r="H23" s="18">
        <f t="shared" si="6"/>
        <v>-38114.149305205676</v>
      </c>
      <c r="I23" s="18">
        <f t="shared" si="6"/>
        <v>-39257.573784361848</v>
      </c>
      <c r="J23" s="18">
        <f t="shared" si="6"/>
        <v>-40435.3009978927</v>
      </c>
      <c r="K23" s="19">
        <f t="shared" si="6"/>
        <v>-41648.360027829483</v>
      </c>
      <c r="N23" s="3560"/>
      <c r="O23" s="3562"/>
      <c r="Q23" s="47">
        <v>3</v>
      </c>
      <c r="R23" s="869">
        <f>-SUM(B32:D32)</f>
        <v>278793</v>
      </c>
      <c r="S23" s="869">
        <f>SUM(B33:D33)+R23</f>
        <v>487410.84324224025</v>
      </c>
      <c r="Z23" s="1719" t="s">
        <v>6459</v>
      </c>
      <c r="AA23" s="1721">
        <v>23</v>
      </c>
    </row>
    <row r="24" spans="1:27" ht="13.35"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371724</v>
      </c>
      <c r="S24" s="869">
        <f>SUM(B33:E33)+R24</f>
        <v>647445.7101270851</v>
      </c>
      <c r="Z24" s="1719" t="s">
        <v>6459</v>
      </c>
      <c r="AA24" s="1721">
        <v>24</v>
      </c>
    </row>
    <row r="25" spans="1:27" ht="13.35" customHeight="1">
      <c r="A25" s="17" t="s">
        <v>1129</v>
      </c>
      <c r="B25" s="18">
        <f>SUM(B20:B24)</f>
        <v>173035.26560000004</v>
      </c>
      <c r="C25" s="18">
        <f t="shared" ref="C25:J25" si="7">SUM(C20:C24)</f>
        <v>172305.09091200013</v>
      </c>
      <c r="D25" s="18">
        <f t="shared" si="7"/>
        <v>171434.03673024004</v>
      </c>
      <c r="E25" s="18">
        <f t="shared" si="7"/>
        <v>170415.77338484486</v>
      </c>
      <c r="F25" s="18">
        <f t="shared" si="7"/>
        <v>169244.7314501417</v>
      </c>
      <c r="G25" s="18">
        <f t="shared" si="7"/>
        <v>167912.09355467255</v>
      </c>
      <c r="H25" s="18">
        <f t="shared" si="7"/>
        <v>166411.78592555982</v>
      </c>
      <c r="I25" s="18">
        <f t="shared" si="7"/>
        <v>164735.46965885852</v>
      </c>
      <c r="J25" s="18">
        <f t="shared" si="7"/>
        <v>162875.53170726728</v>
      </c>
      <c r="K25" s="1215">
        <f>SUM(K20:K24)</f>
        <v>160824.07557630067</v>
      </c>
      <c r="N25" s="3560"/>
      <c r="O25" s="3562"/>
      <c r="Q25" s="92">
        <v>5</v>
      </c>
      <c r="R25" s="869">
        <f>-SUM(B32:F32)</f>
        <v>464655</v>
      </c>
      <c r="S25" s="869">
        <f>SUM(B33:F33)+R25</f>
        <v>805998.10788222682</v>
      </c>
      <c r="Z25" s="1719" t="s">
        <v>6459</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60"/>
      <c r="O26" s="3562"/>
      <c r="Q26" s="92">
        <v>6</v>
      </c>
      <c r="R26" s="869">
        <f>-SUM(B32:G32)</f>
        <v>557586</v>
      </c>
      <c r="S26" s="869">
        <f>SUM(B33:G33)+R26</f>
        <v>962897.09773104941</v>
      </c>
      <c r="Z26" s="1719" t="s">
        <v>6459</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650517</v>
      </c>
      <c r="S27" s="869">
        <f>SUM(B33:H33)+R27</f>
        <v>1117965.3868395837</v>
      </c>
      <c r="Z27" s="1719" t="s">
        <v>6459</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743448</v>
      </c>
      <c r="S28" s="869">
        <f>SUM(B33:I33)+R28</f>
        <v>1271017.054776906</v>
      </c>
      <c r="Z28" s="1719" t="s">
        <v>6459</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836379</v>
      </c>
      <c r="S29" s="869">
        <f>SUM(B33:J33)+R29</f>
        <v>1421858.270710991</v>
      </c>
      <c r="Z29" s="1719" t="s">
        <v>6459</v>
      </c>
      <c r="AA29" s="1721">
        <v>29</v>
      </c>
    </row>
    <row r="30" spans="1:27" ht="13.35" customHeight="1">
      <c r="A30" s="17" t="s">
        <v>711</v>
      </c>
      <c r="B30" s="138"/>
      <c r="C30" s="138"/>
      <c r="D30" s="138"/>
      <c r="E30" s="138"/>
      <c r="F30" s="138"/>
      <c r="G30" s="138"/>
      <c r="H30" s="138"/>
      <c r="I30" s="138"/>
      <c r="J30" s="138"/>
      <c r="K30" s="138"/>
      <c r="N30" s="3560"/>
      <c r="O30" s="3562"/>
      <c r="Q30" s="92">
        <v>10</v>
      </c>
      <c r="R30" s="869">
        <f>-SUM(B32:K32)</f>
        <v>929311</v>
      </c>
      <c r="S30" s="869">
        <f>SUM(B33:K33)+R30</f>
        <v>1570287.0010409139</v>
      </c>
      <c r="Z30" s="1719" t="s">
        <v>6459</v>
      </c>
      <c r="AA30" s="1721">
        <v>30</v>
      </c>
    </row>
    <row r="31" spans="1:27" ht="13.35" customHeight="1">
      <c r="A31" s="341" t="s">
        <v>1095</v>
      </c>
      <c r="B31" s="907">
        <f>-$G$6</f>
        <v>-9500</v>
      </c>
      <c r="C31" s="907">
        <f>+B31*1.03</f>
        <v>-9785</v>
      </c>
      <c r="D31" s="907">
        <f t="shared" ref="D31:K31" si="8">+C31*1.03</f>
        <v>-10078.550000000001</v>
      </c>
      <c r="E31" s="907">
        <f t="shared" si="8"/>
        <v>-10380.906500000001</v>
      </c>
      <c r="F31" s="907">
        <f t="shared" si="8"/>
        <v>-10692.333695000001</v>
      </c>
      <c r="G31" s="907">
        <f t="shared" si="8"/>
        <v>-11013.103705850002</v>
      </c>
      <c r="H31" s="907">
        <f t="shared" si="8"/>
        <v>-11343.496817025503</v>
      </c>
      <c r="I31" s="907">
        <f t="shared" si="8"/>
        <v>-11683.801721536269</v>
      </c>
      <c r="J31" s="907">
        <f t="shared" si="8"/>
        <v>-12034.315773182358</v>
      </c>
      <c r="K31" s="907">
        <f t="shared" si="8"/>
        <v>-12395.345246377829</v>
      </c>
      <c r="N31" s="3560"/>
      <c r="O31" s="3562"/>
      <c r="Q31" s="92">
        <v>11</v>
      </c>
      <c r="R31" s="869">
        <f>-SUM(B32:K32)-B64</f>
        <v>929311</v>
      </c>
      <c r="S31" s="869">
        <f>SUM(B33:K33)+B65+R31</f>
        <v>1716091.7071569064</v>
      </c>
      <c r="Z31" s="1719" t="s">
        <v>6459</v>
      </c>
      <c r="AA31" s="1721">
        <v>31</v>
      </c>
    </row>
    <row r="32" spans="1:27" ht="13.35" customHeight="1">
      <c r="A32" s="341" t="s">
        <v>3360</v>
      </c>
      <c r="B32" s="179">
        <f>IF('Part II-Sources of Funds'!$P$45="", 0,-'Part II-Sources of Funds'!$P$45)</f>
        <v>-92931</v>
      </c>
      <c r="C32" s="179">
        <f>IF('Part II-Sources of Funds'!$P$45="", 0,-'Part II-Sources of Funds'!$P$45)</f>
        <v>-92931</v>
      </c>
      <c r="D32" s="179">
        <f>IF('Part II-Sources of Funds'!$P$45="", 0,-'Part II-Sources of Funds'!$P$45)</f>
        <v>-92931</v>
      </c>
      <c r="E32" s="179">
        <f>IF('Part II-Sources of Funds'!$P$45="", 0,-'Part II-Sources of Funds'!$P$45)</f>
        <v>-92931</v>
      </c>
      <c r="F32" s="179">
        <f>IF('Part II-Sources of Funds'!$P$45="", 0,-'Part II-Sources of Funds'!$P$45)</f>
        <v>-92931</v>
      </c>
      <c r="G32" s="179">
        <f>IF('Part II-Sources of Funds'!$P$45="", 0,-'Part II-Sources of Funds'!$P$45)</f>
        <v>-92931</v>
      </c>
      <c r="H32" s="179">
        <f>IF('Part II-Sources of Funds'!$P$45="", 0,-'Part II-Sources of Funds'!$P$45)</f>
        <v>-92931</v>
      </c>
      <c r="I32" s="179">
        <f>IF('Part II-Sources of Funds'!$P$45="", 0,-'Part II-Sources of Funds'!$P$45)</f>
        <v>-92931</v>
      </c>
      <c r="J32" s="179">
        <f>IF('Part II-Sources of Funds'!$P$45="", 0,-'Part II-Sources of Funds'!$P$45)</f>
        <v>-92931</v>
      </c>
      <c r="K32" s="179">
        <v>-92932</v>
      </c>
      <c r="N32" s="3560"/>
      <c r="O32" s="3562"/>
      <c r="Q32" s="92">
        <v>12</v>
      </c>
      <c r="R32" s="869">
        <f>-SUM(B32:K32) - SUM(B64:C64)</f>
        <v>929311</v>
      </c>
      <c r="S32" s="869">
        <f>SUM(B33:K33) + SUM(B65:C65)+R32</f>
        <v>1859052.0330100737</v>
      </c>
      <c r="Z32" s="1719" t="s">
        <v>6459</v>
      </c>
      <c r="AA32" s="1721">
        <v>32</v>
      </c>
    </row>
    <row r="33" spans="1:27" ht="13.35" customHeight="1">
      <c r="A33" s="17" t="s">
        <v>1096</v>
      </c>
      <c r="B33" s="18">
        <f t="shared" ref="B33:K33" si="9">SUM(B25:B32)</f>
        <v>70604.265600000042</v>
      </c>
      <c r="C33" s="18">
        <f t="shared" si="9"/>
        <v>69589.090912000131</v>
      </c>
      <c r="D33" s="18">
        <f t="shared" si="9"/>
        <v>68424.486730240053</v>
      </c>
      <c r="E33" s="18">
        <f t="shared" si="9"/>
        <v>67103.866884844843</v>
      </c>
      <c r="F33" s="18">
        <f t="shared" si="9"/>
        <v>65621.39775514169</v>
      </c>
      <c r="G33" s="18">
        <f t="shared" si="9"/>
        <v>63967.989848822559</v>
      </c>
      <c r="H33" s="18">
        <f t="shared" si="9"/>
        <v>62137.289108534314</v>
      </c>
      <c r="I33" s="18">
        <f t="shared" si="9"/>
        <v>60120.667937322258</v>
      </c>
      <c r="J33" s="18">
        <f t="shared" si="9"/>
        <v>57910.215934084932</v>
      </c>
      <c r="K33" s="19">
        <f t="shared" si="9"/>
        <v>55496.730329922837</v>
      </c>
      <c r="N33" s="3560"/>
      <c r="O33" s="3562"/>
      <c r="Q33" s="92">
        <v>13</v>
      </c>
      <c r="R33" s="869">
        <f>-SUM(B32:K32) - SUM(B64:D64)</f>
        <v>929311</v>
      </c>
      <c r="S33" s="869">
        <f>SUM(B33:K33) + SUM(B65:D65)+R33</f>
        <v>1998938.4821636053</v>
      </c>
      <c r="Z33" s="1719" t="s">
        <v>6459</v>
      </c>
      <c r="AA33" s="1721">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560"/>
      <c r="O34" s="3562"/>
      <c r="Q34" s="92">
        <v>14</v>
      </c>
      <c r="R34" s="869">
        <f>-SUM(B32:K32) - SUM(B64:E64)</f>
        <v>929311</v>
      </c>
      <c r="S34" s="869">
        <f>SUM(B33:K33) + SUM(B65:E65)+R34</f>
        <v>2135511.0839870078</v>
      </c>
      <c r="Z34" s="1719" t="s">
        <v>6459</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929311</v>
      </c>
      <c r="S35" s="869">
        <f>SUM(B33:K33) + SUM(B65:F65)+R35</f>
        <v>2268521.0486442819</v>
      </c>
      <c r="Z35" s="1719" t="s">
        <v>6459</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929311</v>
      </c>
      <c r="S36" s="869">
        <f>SUM(B33:K33) + SUM(B65:G65)+R36</f>
        <v>2397708.4105160274</v>
      </c>
      <c r="Z36" s="1719" t="s">
        <v>6459</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929311</v>
      </c>
      <c r="S37" s="869">
        <f>SUM(B33:K33) + SUM(B65:H65)+R37</f>
        <v>2522801.6596841742</v>
      </c>
      <c r="Z37" s="1719" t="s">
        <v>6459</v>
      </c>
      <c r="AA37" s="1721">
        <v>37</v>
      </c>
    </row>
    <row r="38" spans="1:27" ht="13.35" customHeight="1">
      <c r="A38" s="341" t="s">
        <v>3213</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560"/>
      <c r="O38" s="3562"/>
      <c r="Q38" s="47">
        <v>18</v>
      </c>
      <c r="R38" s="869">
        <f>-SUM(B32:K32) - SUM(B64:I64)</f>
        <v>929311</v>
      </c>
      <c r="S38" s="869">
        <f>SUM(B33:K33) + SUM(B65:I65)+R38</f>
        <v>2643518.3610964185</v>
      </c>
      <c r="Z38" s="1719" t="s">
        <v>6459</v>
      </c>
      <c r="AA38" s="1721">
        <v>38</v>
      </c>
    </row>
    <row r="39" spans="1:27" ht="13.35" customHeight="1">
      <c r="A39" s="17" t="s">
        <v>718</v>
      </c>
      <c r="B39" s="220">
        <f t="shared" ref="B39:K39" si="15">IF(OR(B22="Choose mgt fee",B22="Choose One!"),"",(B15+B16+B17+B18+B19) / -(B21+B22+B23))</f>
        <v>1.3842785820567374</v>
      </c>
      <c r="C39" s="220">
        <f t="shared" si="15"/>
        <v>1.3717617250615237</v>
      </c>
      <c r="D39" s="220">
        <f t="shared" si="15"/>
        <v>1.3593482077355084</v>
      </c>
      <c r="E39" s="220">
        <f t="shared" si="15"/>
        <v>1.3470381574711676</v>
      </c>
      <c r="F39" s="220">
        <f t="shared" si="15"/>
        <v>1.3348342432450857</v>
      </c>
      <c r="G39" s="220">
        <f t="shared" si="15"/>
        <v>1.3227310218141408</v>
      </c>
      <c r="H39" s="220">
        <f t="shared" si="15"/>
        <v>1.3107310894779756</v>
      </c>
      <c r="I39" s="220">
        <f t="shared" si="15"/>
        <v>1.2988318667167889</v>
      </c>
      <c r="J39" s="220">
        <f t="shared" si="15"/>
        <v>1.2870333240390508</v>
      </c>
      <c r="K39" s="221">
        <f t="shared" si="15"/>
        <v>1.2753353485769476</v>
      </c>
      <c r="N39" s="3560"/>
      <c r="O39" s="3562"/>
      <c r="Q39" s="92">
        <v>19</v>
      </c>
      <c r="R39" s="869">
        <f>-SUM(B32:K32) - SUM(B64:J64)</f>
        <v>929311</v>
      </c>
      <c r="S39" s="869">
        <f>SUM(B33:K33) + SUM(B65:J65)+R39</f>
        <v>2775737.8750972431</v>
      </c>
      <c r="Z39" s="1719" t="s">
        <v>6459</v>
      </c>
      <c r="AA39" s="1721">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560"/>
      <c r="O40" s="3562"/>
      <c r="Q40" s="92">
        <v>20</v>
      </c>
      <c r="R40" s="869">
        <f>-SUM(B32:K32) - SUM(B64:K64)</f>
        <v>929311</v>
      </c>
      <c r="S40" s="869">
        <f>SUM(B33:K33) + SUM(B65:K65)+R40</f>
        <v>2903466.8019318162</v>
      </c>
      <c r="Z40" s="1719" t="s">
        <v>6459</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6459</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6459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6459</v>
      </c>
      <c r="AA43" s="1721">
        <v>43</v>
      </c>
    </row>
    <row r="44" spans="1:27" ht="13.35" customHeight="1">
      <c r="A44" s="341" t="s">
        <v>3361</v>
      </c>
      <c r="B44" s="179">
        <f>IF('Part II-Sources of Funds'!$I$45="","",-FV('Part II-Sources of Funds'!$K$45/12,12,B32/12,'Part II-Sources of Funds'!$I$45))</f>
        <v>836380</v>
      </c>
      <c r="C44" s="179">
        <f>IF('Part II-Sources of Funds'!$I$45="","",IF(-FV('Part II-Sources of Funds'!$K$45/12,12,C32/12,B44)&gt;0,-FV('Part II-Sources of Funds'!$K$45/12,12,C32/12,B44),0))</f>
        <v>743449</v>
      </c>
      <c r="D44" s="179">
        <f>IF('Part II-Sources of Funds'!$I$45="","",IF(-FV('Part II-Sources of Funds'!$K$45/12,12,D32/12,C44)&gt;0,-FV('Part II-Sources of Funds'!$K$45/12,12,D32/12,C44),0))</f>
        <v>650518</v>
      </c>
      <c r="E44" s="179">
        <f>IF('Part II-Sources of Funds'!$I$45="","",IF(-FV('Part II-Sources of Funds'!$K$45/12,12,E32/12,D44)&gt;0,-FV('Part II-Sources of Funds'!$K$45/12,12,E32/12,D44),0))</f>
        <v>557587</v>
      </c>
      <c r="F44" s="179">
        <f>IF('Part II-Sources of Funds'!$I$45="","",IF(-FV('Part II-Sources of Funds'!$K$45/12,12,F32/12,E44)&gt;0,-FV('Part II-Sources of Funds'!$K$45/12,12,F32/12,E44),0))</f>
        <v>464656</v>
      </c>
      <c r="G44" s="179">
        <f>IF('Part II-Sources of Funds'!$I$45="","",IF(-FV('Part II-Sources of Funds'!$K$45/12,12,G32/12,F44)&gt;0,-FV('Part II-Sources of Funds'!$K$45/12,12,G32/12,F44),0))</f>
        <v>371725</v>
      </c>
      <c r="H44" s="179">
        <f>IF('Part II-Sources of Funds'!$I$45="","",IF(-FV('Part II-Sources of Funds'!$K$45/12,12,H32/12,G44)&gt;0,-FV('Part II-Sources of Funds'!$K$45/12,12,H32/12,G44),0))</f>
        <v>278794</v>
      </c>
      <c r="I44" s="179">
        <f>IF('Part II-Sources of Funds'!$I$45="","",IF(-FV('Part II-Sources of Funds'!$K$45/12,12,I32/12,H44)&gt;0,-FV('Part II-Sources of Funds'!$K$45/12,12,I32/12,H44),0))</f>
        <v>185863</v>
      </c>
      <c r="J44" s="179">
        <f>IF('Part II-Sources of Funds'!$I$45="","",IF(-FV('Part II-Sources of Funds'!$K$45/12,12,J32/12,I44)&gt;0,-FV('Part II-Sources of Funds'!$K$45/12,12,J32/12,I44),0))</f>
        <v>92932</v>
      </c>
      <c r="K44" s="179">
        <f>IF('Part II-Sources of Funds'!$I$45="","",IF(-FV('Part II-Sources of Funds'!$K$45/12,12,K32/12,J44)&gt;0,-FV('Part II-Sources of Funds'!$K$45/12,12,K32/12,J44),0))</f>
        <v>0</v>
      </c>
      <c r="N44" s="3573"/>
      <c r="O44" s="3575"/>
      <c r="Z44" s="1719" t="s">
        <v>6459</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800996.35740087496</v>
      </c>
      <c r="C47" s="15">
        <f t="shared" si="17"/>
        <v>817016.28454889229</v>
      </c>
      <c r="D47" s="15">
        <f t="shared" si="17"/>
        <v>833356.61023987026</v>
      </c>
      <c r="E47" s="15">
        <f t="shared" si="17"/>
        <v>850023.74244466762</v>
      </c>
      <c r="F47" s="15">
        <f t="shared" si="17"/>
        <v>867024.21729356109</v>
      </c>
      <c r="G47" s="15">
        <f t="shared" si="17"/>
        <v>884364.70163943199</v>
      </c>
      <c r="H47" s="15">
        <f t="shared" si="17"/>
        <v>902051.99567222083</v>
      </c>
      <c r="I47" s="15">
        <f t="shared" si="17"/>
        <v>920093.03558566526</v>
      </c>
      <c r="J47" s="15">
        <f t="shared" si="17"/>
        <v>938494.89629737847</v>
      </c>
      <c r="K47" s="16">
        <f t="shared" si="17"/>
        <v>957264.79422332603</v>
      </c>
      <c r="N47" s="3563"/>
      <c r="O47" s="3565"/>
      <c r="Z47" s="1719" t="s">
        <v>6460</v>
      </c>
      <c r="AA47" s="1721">
        <v>47</v>
      </c>
    </row>
    <row r="48" spans="1:27" ht="13.35" customHeight="1">
      <c r="A48" s="17" t="s">
        <v>952</v>
      </c>
      <c r="B48" s="18">
        <f t="shared" ref="B48:K48" si="18">$B$16*(1+$B$6)^(B46-1)</f>
        <v>16019.927148017498</v>
      </c>
      <c r="C48" s="18">
        <f t="shared" si="18"/>
        <v>16340.325690977845</v>
      </c>
      <c r="D48" s="18">
        <f t="shared" si="18"/>
        <v>16667.132204797406</v>
      </c>
      <c r="E48" s="18">
        <f t="shared" si="18"/>
        <v>17000.474848893351</v>
      </c>
      <c r="F48" s="18">
        <f t="shared" si="18"/>
        <v>17340.48434587122</v>
      </c>
      <c r="G48" s="18">
        <f t="shared" si="18"/>
        <v>17687.294032788639</v>
      </c>
      <c r="H48" s="18">
        <f t="shared" si="18"/>
        <v>18041.039913444416</v>
      </c>
      <c r="I48" s="18">
        <f t="shared" si="18"/>
        <v>18401.860711713307</v>
      </c>
      <c r="J48" s="18">
        <f t="shared" si="18"/>
        <v>18769.897925947571</v>
      </c>
      <c r="K48" s="19">
        <f t="shared" si="18"/>
        <v>19145.295884466519</v>
      </c>
      <c r="N48" s="3560"/>
      <c r="O48" s="3562"/>
      <c r="Z48" s="1719" t="s">
        <v>6460</v>
      </c>
      <c r="AA48" s="1721">
        <v>48</v>
      </c>
    </row>
    <row r="49" spans="1:27" ht="13.35" customHeight="1">
      <c r="A49" s="17" t="s">
        <v>2216</v>
      </c>
      <c r="B49" s="18">
        <f t="shared" ref="B49:K49" si="19">-(B47+B48)*$B$9</f>
        <v>-57191.139918422472</v>
      </c>
      <c r="C49" s="18">
        <f t="shared" si="19"/>
        <v>-58334.962716790913</v>
      </c>
      <c r="D49" s="18">
        <f t="shared" si="19"/>
        <v>-59501.661971126741</v>
      </c>
      <c r="E49" s="18">
        <f t="shared" si="19"/>
        <v>-60691.695210549275</v>
      </c>
      <c r="F49" s="18">
        <f t="shared" si="19"/>
        <v>-61905.529114760269</v>
      </c>
      <c r="G49" s="18">
        <f t="shared" si="19"/>
        <v>-63143.639697055449</v>
      </c>
      <c r="H49" s="18">
        <f t="shared" si="19"/>
        <v>-64406.512490996574</v>
      </c>
      <c r="I49" s="18">
        <f t="shared" si="19"/>
        <v>-65694.642740816504</v>
      </c>
      <c r="J49" s="18">
        <f t="shared" si="19"/>
        <v>-67008.535595632828</v>
      </c>
      <c r="K49" s="19">
        <f t="shared" si="19"/>
        <v>-68348.706307545479</v>
      </c>
      <c r="N49" s="3560"/>
      <c r="O49" s="3562"/>
      <c r="Z49" s="1719" t="s">
        <v>6460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6460</v>
      </c>
      <c r="AA51" s="1721">
        <v>51</v>
      </c>
    </row>
    <row r="52" spans="1:27" ht="13.35" customHeight="1">
      <c r="A52" s="341" t="s">
        <v>3836</v>
      </c>
      <c r="B52" s="18">
        <f t="shared" ref="B52:K52" si="20">SUM(B47:B51)</f>
        <v>759825.14463046996</v>
      </c>
      <c r="C52" s="18">
        <f t="shared" si="20"/>
        <v>775021.64752307918</v>
      </c>
      <c r="D52" s="18">
        <f t="shared" si="20"/>
        <v>790522.08047354082</v>
      </c>
      <c r="E52" s="18">
        <f t="shared" si="20"/>
        <v>806332.52208301169</v>
      </c>
      <c r="F52" s="18">
        <f t="shared" si="20"/>
        <v>822459.17252467212</v>
      </c>
      <c r="G52" s="18">
        <f t="shared" si="20"/>
        <v>838908.35597516515</v>
      </c>
      <c r="H52" s="18">
        <f t="shared" si="20"/>
        <v>855686.52309466864</v>
      </c>
      <c r="I52" s="18">
        <f t="shared" si="20"/>
        <v>872800.25355656212</v>
      </c>
      <c r="J52" s="18">
        <f t="shared" si="20"/>
        <v>890256.25862769317</v>
      </c>
      <c r="K52" s="19">
        <f t="shared" si="20"/>
        <v>908061.38380024699</v>
      </c>
      <c r="N52" s="3560"/>
      <c r="O52" s="3562"/>
      <c r="Z52" s="1719" t="s">
        <v>6460</v>
      </c>
      <c r="AA52" s="1721">
        <v>52</v>
      </c>
    </row>
    <row r="53" spans="1:27" ht="13.35" customHeight="1">
      <c r="A53" s="17" t="s">
        <v>572</v>
      </c>
      <c r="B53" s="18">
        <f t="shared" ref="B53:K53" si="21">$B$21*(1+$B$7)^(B46-1)</f>
        <v>-520364.42208204395</v>
      </c>
      <c r="C53" s="18">
        <f t="shared" si="21"/>
        <v>-535975.35474450525</v>
      </c>
      <c r="D53" s="18">
        <f t="shared" si="21"/>
        <v>-552054.61538684042</v>
      </c>
      <c r="E53" s="18">
        <f t="shared" si="21"/>
        <v>-568616.2538484456</v>
      </c>
      <c r="F53" s="18">
        <f t="shared" si="21"/>
        <v>-585674.74146389903</v>
      </c>
      <c r="G53" s="18">
        <f t="shared" si="21"/>
        <v>-603244.98370781599</v>
      </c>
      <c r="H53" s="18">
        <f t="shared" si="21"/>
        <v>-621342.33321905031</v>
      </c>
      <c r="I53" s="18">
        <f t="shared" si="21"/>
        <v>-639982.6032156219</v>
      </c>
      <c r="J53" s="18">
        <f t="shared" si="21"/>
        <v>-659182.08131209051</v>
      </c>
      <c r="K53" s="19">
        <f t="shared" si="21"/>
        <v>-678957.54375145328</v>
      </c>
      <c r="N53" s="3560"/>
      <c r="O53" s="3562"/>
      <c r="Z53" s="1719" t="s">
        <v>6460</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-37991</v>
      </c>
      <c r="C54" s="18">
        <f>IF(AND('Part VI-Pro Forma'!$G$9="Yes",'Part VI-Pro Forma'!$G$10="Yes"),"Choose One!",IF('Part VI-Pro Forma'!$G$9="Yes",ROUND((-$K$9*(1+'Part VI-Pro Forma'!$B$7)^('Part VI-Pro Forma'!C46-1)),),IF('Part VI-Pro Forma'!$G$10="Yes",ROUND((-(SUM(C47:C50)*'Part VI-Pro Forma'!$K$10)),),"Choose mgt fee")))</f>
        <v>-38751</v>
      </c>
      <c r="D54" s="18">
        <f>IF(AND('Part VI-Pro Forma'!$G$9="Yes",'Part VI-Pro Forma'!$G$10="Yes"),"Choose One!",IF('Part VI-Pro Forma'!$G$9="Yes",ROUND((-$K$9*(1+'Part VI-Pro Forma'!$B$7)^('Part VI-Pro Forma'!D46-1)),),IF('Part VI-Pro Forma'!$G$10="Yes",ROUND((-(SUM(D47:D50)*'Part VI-Pro Forma'!$K$10)),),"Choose mgt fee")))</f>
        <v>-39526</v>
      </c>
      <c r="E54" s="18">
        <f>IF(AND('Part VI-Pro Forma'!$G$9="Yes",'Part VI-Pro Forma'!$G$10="Yes"),"Choose One!",IF('Part VI-Pro Forma'!$G$9="Yes",ROUND((-$K$9*(1+'Part VI-Pro Forma'!$B$7)^('Part VI-Pro Forma'!E46-1)),),IF('Part VI-Pro Forma'!$G$10="Yes",ROUND((-(SUM(E47:E50)*'Part VI-Pro Forma'!$K$10)),),"Choose mgt fee")))</f>
        <v>-40317</v>
      </c>
      <c r="F54" s="18">
        <f>IF(AND('Part VI-Pro Forma'!$G$9="Yes",'Part VI-Pro Forma'!$G$10="Yes"),"Choose One!",IF('Part VI-Pro Forma'!$G$9="Yes",ROUND((-$K$9*(1+'Part VI-Pro Forma'!$B$7)^('Part VI-Pro Forma'!F46-1)),),IF('Part VI-Pro Forma'!$G$10="Yes",ROUND((-(SUM(F47:F50)*'Part VI-Pro Forma'!$K$10)),),"Choose mgt fee")))</f>
        <v>-41123</v>
      </c>
      <c r="G54" s="18">
        <f>IF(AND('Part VI-Pro Forma'!$G$9="Yes",'Part VI-Pro Forma'!$G$10="Yes"),"Choose One!",IF('Part VI-Pro Forma'!$G$9="Yes",ROUND((-$K$9*(1+'Part VI-Pro Forma'!$B$7)^('Part VI-Pro Forma'!G46-1)),),IF('Part VI-Pro Forma'!$G$10="Yes",ROUND((-(SUM(G47:G50)*'Part VI-Pro Forma'!$K$10)),),"Choose mgt fee")))</f>
        <v>-41945</v>
      </c>
      <c r="H54" s="18">
        <f>IF(AND('Part VI-Pro Forma'!$G$9="Yes",'Part VI-Pro Forma'!$G$10="Yes"),"Choose One!",IF('Part VI-Pro Forma'!$G$9="Yes",ROUND((-$K$9*(1+'Part VI-Pro Forma'!$B$7)^('Part VI-Pro Forma'!H46-1)),),IF('Part VI-Pro Forma'!$G$10="Yes",ROUND((-(SUM(H47:H50)*'Part VI-Pro Forma'!$K$10)),),"Choose mgt fee")))</f>
        <v>-42784</v>
      </c>
      <c r="I54" s="18">
        <f>IF(AND('Part VI-Pro Forma'!$G$9="Yes",'Part VI-Pro Forma'!$G$10="Yes"),"Choose One!",IF('Part VI-Pro Forma'!$G$9="Yes",ROUND((-$K$9*(1+'Part VI-Pro Forma'!$B$7)^('Part VI-Pro Forma'!I46-1)),),IF('Part VI-Pro Forma'!$G$10="Yes",ROUND((-(SUM(I47:I50)*'Part VI-Pro Forma'!$K$10)),),"Choose mgt fee")))</f>
        <v>-43640</v>
      </c>
      <c r="J54" s="18">
        <f>IF(AND('Part VI-Pro Forma'!$G$9="Yes",'Part VI-Pro Forma'!$G$10="Yes"),"Choose One!",IF('Part VI-Pro Forma'!$G$9="Yes",ROUND((-$K$9*(1+'Part VI-Pro Forma'!$B$7)^('Part VI-Pro Forma'!J46-1)),),IF('Part VI-Pro Forma'!$G$10="Yes",ROUND((-(SUM(J47:J50)*'Part VI-Pro Forma'!$K$10)),),"Choose mgt fee")))</f>
        <v>-44513</v>
      </c>
      <c r="K54" s="19">
        <f>IF(AND('Part VI-Pro Forma'!$G$9="Yes",'Part VI-Pro Forma'!$G$10="Yes"),"Choose One!",IF('Part VI-Pro Forma'!$G$9="Yes",ROUND((-$K$9*(1+'Part VI-Pro Forma'!$B$7)^('Part VI-Pro Forma'!K46-1)),),IF('Part VI-Pro Forma'!$G$10="Yes",ROUND((-(SUM(K47:K50)*'Part VI-Pro Forma'!$K$10)),),"Choose mgt fee")))</f>
        <v>-45403</v>
      </c>
      <c r="N54" s="3560"/>
      <c r="O54" s="3562"/>
      <c r="Z54" s="1719" t="s">
        <v>6460</v>
      </c>
      <c r="AA54" s="1721">
        <v>54</v>
      </c>
    </row>
    <row r="55" spans="1:27" ht="13.35" customHeight="1">
      <c r="A55" s="17" t="s">
        <v>1128</v>
      </c>
      <c r="B55" s="18">
        <f t="shared" ref="B55:K55" si="22">$B$23*(1+$B$8)^(B46-1)</f>
        <v>-42897.810828664369</v>
      </c>
      <c r="C55" s="18">
        <f t="shared" si="22"/>
        <v>-44184.745153524302</v>
      </c>
      <c r="D55" s="18">
        <f t="shared" si="22"/>
        <v>-45510.287508130023</v>
      </c>
      <c r="E55" s="18">
        <f t="shared" si="22"/>
        <v>-46875.596133373918</v>
      </c>
      <c r="F55" s="18">
        <f t="shared" si="22"/>
        <v>-48281.864017375141</v>
      </c>
      <c r="G55" s="18">
        <f t="shared" si="22"/>
        <v>-49730.319937896398</v>
      </c>
      <c r="H55" s="18">
        <f t="shared" si="22"/>
        <v>-51222.229536033286</v>
      </c>
      <c r="I55" s="18">
        <f t="shared" si="22"/>
        <v>-52758.896422114281</v>
      </c>
      <c r="J55" s="18">
        <f t="shared" si="22"/>
        <v>-54341.66331477771</v>
      </c>
      <c r="K55" s="19">
        <f t="shared" si="22"/>
        <v>-55971.913214221044</v>
      </c>
      <c r="N55" s="3560"/>
      <c r="O55" s="3562"/>
      <c r="Q55" s="92"/>
      <c r="R55" s="869"/>
      <c r="S55" s="869"/>
      <c r="Z55" s="1719" t="s">
        <v>6460</v>
      </c>
      <c r="AA55" s="1721">
        <v>55</v>
      </c>
    </row>
    <row r="56" spans="1:27" ht="13.35"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6460</v>
      </c>
      <c r="AA56" s="1721">
        <v>56</v>
      </c>
    </row>
    <row r="57" spans="1:27" ht="13.35" customHeight="1">
      <c r="A57" s="17" t="s">
        <v>1129</v>
      </c>
      <c r="B57" s="18">
        <f t="shared" ref="B57:K57" si="23">SUM(B52:B56)</f>
        <v>158571.91171976164</v>
      </c>
      <c r="C57" s="18">
        <f t="shared" si="23"/>
        <v>156110.54762504963</v>
      </c>
      <c r="D57" s="18">
        <f t="shared" si="23"/>
        <v>153431.17757857038</v>
      </c>
      <c r="E57" s="18">
        <f t="shared" si="23"/>
        <v>150523.67210119218</v>
      </c>
      <c r="F57" s="18">
        <f t="shared" si="23"/>
        <v>147379.56704339795</v>
      </c>
      <c r="G57" s="18">
        <f t="shared" si="23"/>
        <v>143988.05232945277</v>
      </c>
      <c r="H57" s="18">
        <f t="shared" si="23"/>
        <v>140337.96033958503</v>
      </c>
      <c r="I57" s="18">
        <f t="shared" si="23"/>
        <v>136418.75391882594</v>
      </c>
      <c r="J57" s="18">
        <f t="shared" si="23"/>
        <v>132219.51400082494</v>
      </c>
      <c r="K57" s="1215">
        <f t="shared" si="23"/>
        <v>127728.92683457266</v>
      </c>
      <c r="N57" s="3560"/>
      <c r="O57" s="3562"/>
      <c r="Z57" s="1719" t="s">
        <v>6460</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60"/>
      <c r="O58" s="3562"/>
      <c r="Z58" s="1719" t="s">
        <v>6460</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6460</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6460</v>
      </c>
      <c r="AA61" s="1721">
        <v>61</v>
      </c>
    </row>
    <row r="62" spans="1:27" ht="13.35" customHeight="1">
      <c r="A62" s="17" t="s">
        <v>711</v>
      </c>
      <c r="B62" s="138"/>
      <c r="C62" s="138"/>
      <c r="D62" s="138"/>
      <c r="E62" s="138"/>
      <c r="F62" s="138"/>
      <c r="G62" s="138"/>
      <c r="H62" s="138"/>
      <c r="I62" s="138"/>
      <c r="J62" s="138"/>
      <c r="K62" s="138"/>
      <c r="N62" s="3560"/>
      <c r="O62" s="3562"/>
      <c r="Q62" s="92"/>
      <c r="R62" s="869"/>
      <c r="Z62" s="1719" t="s">
        <v>6460</v>
      </c>
      <c r="AA62" s="1721">
        <v>62</v>
      </c>
    </row>
    <row r="63" spans="1:27" ht="13.35" customHeight="1">
      <c r="A63" s="341" t="s">
        <v>1095</v>
      </c>
      <c r="B63" s="178">
        <f>+K31*1.03</f>
        <v>-12767.205603769164</v>
      </c>
      <c r="C63" s="178">
        <f>+B63*1.03</f>
        <v>-13150.221771882239</v>
      </c>
      <c r="D63" s="178">
        <f t="shared" ref="D63:I63" si="24">+C63*1.03</f>
        <v>-13544.728425038707</v>
      </c>
      <c r="E63" s="178">
        <f t="shared" si="24"/>
        <v>-13951.07027778987</v>
      </c>
      <c r="F63" s="178">
        <f t="shared" si="24"/>
        <v>-14369.602386123566</v>
      </c>
      <c r="G63" s="178">
        <f t="shared" si="24"/>
        <v>-14800.690457707273</v>
      </c>
      <c r="H63" s="178">
        <f t="shared" si="24"/>
        <v>-15244.711171438492</v>
      </c>
      <c r="I63" s="178">
        <f t="shared" si="24"/>
        <v>-15702.052506581647</v>
      </c>
      <c r="J63" s="178">
        <v>0</v>
      </c>
      <c r="K63" s="178">
        <v>0</v>
      </c>
      <c r="N63" s="3560"/>
      <c r="O63" s="3562"/>
      <c r="Z63" s="1719" t="s">
        <v>6460</v>
      </c>
      <c r="AA63" s="1721">
        <v>63</v>
      </c>
    </row>
    <row r="64" spans="1:27" ht="13.35" customHeight="1">
      <c r="A64" s="341" t="s">
        <v>3360</v>
      </c>
      <c r="B64" s="179"/>
      <c r="C64" s="179"/>
      <c r="D64" s="179"/>
      <c r="E64" s="179"/>
      <c r="F64" s="179"/>
      <c r="G64" s="179"/>
      <c r="H64" s="179"/>
      <c r="I64" s="179"/>
      <c r="J64" s="179"/>
      <c r="K64" s="179"/>
      <c r="N64" s="3560"/>
      <c r="O64" s="3562"/>
      <c r="Z64" s="1719" t="s">
        <v>6460</v>
      </c>
      <c r="AA64" s="1721">
        <v>64</v>
      </c>
    </row>
    <row r="65" spans="1:27" ht="13.35" customHeight="1">
      <c r="A65" s="17" t="s">
        <v>1096</v>
      </c>
      <c r="B65" s="18">
        <f t="shared" ref="B65:K65" si="25">SUM(B57:B64)</f>
        <v>145804.70611599248</v>
      </c>
      <c r="C65" s="18">
        <f t="shared" si="25"/>
        <v>142960.32585316739</v>
      </c>
      <c r="D65" s="18">
        <f t="shared" si="25"/>
        <v>139886.44915353166</v>
      </c>
      <c r="E65" s="18">
        <f t="shared" si="25"/>
        <v>136572.60182340231</v>
      </c>
      <c r="F65" s="18">
        <f t="shared" si="25"/>
        <v>133009.96465727439</v>
      </c>
      <c r="G65" s="18">
        <f t="shared" si="25"/>
        <v>129187.3618717455</v>
      </c>
      <c r="H65" s="18">
        <f t="shared" si="25"/>
        <v>125093.24916814653</v>
      </c>
      <c r="I65" s="18">
        <f t="shared" si="25"/>
        <v>120716.70141224429</v>
      </c>
      <c r="J65" s="18">
        <f t="shared" si="25"/>
        <v>132219.51400082494</v>
      </c>
      <c r="K65" s="497">
        <f t="shared" si="25"/>
        <v>127728.92683457266</v>
      </c>
      <c r="N65" s="3560"/>
      <c r="O65" s="3562"/>
      <c r="Z65" s="1719" t="s">
        <v>6460</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60"/>
      <c r="O66" s="3562"/>
      <c r="Z66" s="1719" t="s">
        <v>6460</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6460</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6460</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6460</v>
      </c>
      <c r="AA69" s="1721">
        <v>69</v>
      </c>
    </row>
    <row r="70" spans="1:27" ht="13.35" customHeight="1">
      <c r="A70" s="341" t="s">
        <v>3213</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60"/>
      <c r="O70" s="3562"/>
      <c r="Z70" s="1719" t="s">
        <v>6460</v>
      </c>
      <c r="AA70" s="1721">
        <v>70</v>
      </c>
    </row>
    <row r="71" spans="1:27" ht="13.35" customHeight="1">
      <c r="A71" s="17" t="s">
        <v>718</v>
      </c>
      <c r="B71" s="220">
        <f t="shared" ref="B71:K71" si="31">IF(OR(B54="Choose mgt fee",B54="Choose One!"),"",(B47+B48+B49+B50+B51) / -(B53+B54+B55))</f>
        <v>1.2637356492074132</v>
      </c>
      <c r="C71" s="220">
        <f t="shared" si="31"/>
        <v>1.2522342023769972</v>
      </c>
      <c r="D71" s="220">
        <f t="shared" si="31"/>
        <v>1.2408309032217726</v>
      </c>
      <c r="E71" s="220">
        <f t="shared" si="31"/>
        <v>1.2295236975002168</v>
      </c>
      <c r="F71" s="220">
        <f t="shared" si="31"/>
        <v>1.2183143526285747</v>
      </c>
      <c r="G71" s="220">
        <f t="shared" si="31"/>
        <v>1.2072008136387125</v>
      </c>
      <c r="H71" s="220">
        <f t="shared" si="31"/>
        <v>1.1961812291885923</v>
      </c>
      <c r="I71" s="220">
        <f t="shared" si="31"/>
        <v>1.1852555421149733</v>
      </c>
      <c r="J71" s="220">
        <f t="shared" si="31"/>
        <v>1.1744236212004577</v>
      </c>
      <c r="K71" s="221">
        <f t="shared" si="31"/>
        <v>1.1636852673426492</v>
      </c>
      <c r="N71" s="3560"/>
      <c r="O71" s="3562"/>
      <c r="Z71" s="1719" t="s">
        <v>6460</v>
      </c>
      <c r="AA71" s="1721">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560"/>
      <c r="O72" s="3562"/>
      <c r="Z72" s="1719" t="s">
        <v>6460</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6460</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6460</v>
      </c>
      <c r="AA75" s="1721">
        <v>75</v>
      </c>
    </row>
    <row r="76" spans="1:27" ht="13.35" customHeight="1">
      <c r="A76" s="341" t="s">
        <v>3361</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3"/>
      <c r="O76" s="3575"/>
      <c r="Z76" s="1719" t="s">
        <v>6460</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976410.09010779264</v>
      </c>
      <c r="C79" s="15">
        <f t="shared" si="33"/>
        <v>995938.29190994846</v>
      </c>
      <c r="D79" s="15">
        <f t="shared" si="33"/>
        <v>1015857.0577481475</v>
      </c>
      <c r="E79" s="15">
        <f t="shared" si="33"/>
        <v>1036174.1989031102</v>
      </c>
      <c r="F79" s="15">
        <f t="shared" si="33"/>
        <v>1056897.6828811725</v>
      </c>
      <c r="G79" s="15">
        <f t="shared" si="33"/>
        <v>1078035.6365387959</v>
      </c>
      <c r="H79" s="15">
        <f t="shared" si="33"/>
        <v>1099596.3492695719</v>
      </c>
      <c r="I79" s="15">
        <f t="shared" si="33"/>
        <v>1121588.2762549631</v>
      </c>
      <c r="J79" s="15">
        <f t="shared" si="33"/>
        <v>1144020.0417800627</v>
      </c>
      <c r="K79" s="16">
        <f t="shared" si="33"/>
        <v>1166900.4426156639</v>
      </c>
      <c r="N79" s="3563"/>
      <c r="O79" s="3565"/>
      <c r="Z79" s="1719" t="s">
        <v>6461</v>
      </c>
      <c r="AA79" s="1721">
        <v>79</v>
      </c>
    </row>
    <row r="80" spans="1:27" ht="13.35" customHeight="1">
      <c r="A80" s="17" t="s">
        <v>952</v>
      </c>
      <c r="B80" s="18">
        <f t="shared" ref="B80:K80" si="34">$B$16*(1+$B$6)^(B78-1)</f>
        <v>19528.201802155854</v>
      </c>
      <c r="C80" s="18">
        <f t="shared" si="34"/>
        <v>19918.765838198968</v>
      </c>
      <c r="D80" s="18">
        <f t="shared" si="34"/>
        <v>20317.141154962948</v>
      </c>
      <c r="E80" s="18">
        <f t="shared" si="34"/>
        <v>20723.483978062206</v>
      </c>
      <c r="F80" s="18">
        <f t="shared" si="34"/>
        <v>21137.95365762345</v>
      </c>
      <c r="G80" s="18">
        <f t="shared" si="34"/>
        <v>21560.712730775918</v>
      </c>
      <c r="H80" s="18">
        <f t="shared" si="34"/>
        <v>21991.926985391441</v>
      </c>
      <c r="I80" s="18">
        <f t="shared" si="34"/>
        <v>22431.765525099265</v>
      </c>
      <c r="J80" s="18">
        <f t="shared" si="34"/>
        <v>22880.400835601253</v>
      </c>
      <c r="K80" s="19">
        <f t="shared" si="34"/>
        <v>23338.008852313276</v>
      </c>
      <c r="N80" s="3560"/>
      <c r="O80" s="3562"/>
      <c r="Z80" s="1719" t="s">
        <v>6461</v>
      </c>
      <c r="AA80" s="1721">
        <v>80</v>
      </c>
    </row>
    <row r="81" spans="1:27" ht="13.35" customHeight="1">
      <c r="A81" s="17" t="s">
        <v>2216</v>
      </c>
      <c r="B81" s="18">
        <f t="shared" ref="B81:K81" si="35">-(B79+B80)*$B$9</f>
        <v>-69715.680433696398</v>
      </c>
      <c r="C81" s="18">
        <f t="shared" si="35"/>
        <v>-71109.994042370323</v>
      </c>
      <c r="D81" s="18">
        <f t="shared" si="35"/>
        <v>-72532.193923217739</v>
      </c>
      <c r="E81" s="18">
        <f t="shared" si="35"/>
        <v>-73982.837801682079</v>
      </c>
      <c r="F81" s="18">
        <f t="shared" si="35"/>
        <v>-75462.49455771572</v>
      </c>
      <c r="G81" s="18">
        <f t="shared" si="35"/>
        <v>-76971.744448870028</v>
      </c>
      <c r="H81" s="18">
        <f t="shared" si="35"/>
        <v>-78511.179337847439</v>
      </c>
      <c r="I81" s="18">
        <f t="shared" si="35"/>
        <v>-80081.402924604379</v>
      </c>
      <c r="J81" s="18">
        <f t="shared" si="35"/>
        <v>-81683.030983096483</v>
      </c>
      <c r="K81" s="19">
        <f t="shared" si="35"/>
        <v>-83316.691602758408</v>
      </c>
      <c r="N81" s="3560"/>
      <c r="O81" s="3562"/>
      <c r="Z81" s="1719" t="s">
        <v>6461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6461</v>
      </c>
      <c r="AA83" s="1721">
        <v>83</v>
      </c>
    </row>
    <row r="84" spans="1:27" ht="13.35" customHeight="1">
      <c r="A84" s="341" t="s">
        <v>3836</v>
      </c>
      <c r="B84" s="18">
        <f t="shared" ref="B84:K84" si="36">SUM(B79:B83)</f>
        <v>926222.61147625209</v>
      </c>
      <c r="C84" s="18">
        <f t="shared" si="36"/>
        <v>944747.06370577705</v>
      </c>
      <c r="D84" s="18">
        <f t="shared" si="36"/>
        <v>963642.00497989275</v>
      </c>
      <c r="E84" s="18">
        <f t="shared" si="36"/>
        <v>982914.84507949045</v>
      </c>
      <c r="F84" s="18">
        <f t="shared" si="36"/>
        <v>1002573.1419810802</v>
      </c>
      <c r="G84" s="18">
        <f t="shared" si="36"/>
        <v>1022624.6048207016</v>
      </c>
      <c r="H84" s="18">
        <f t="shared" si="36"/>
        <v>1043077.096917116</v>
      </c>
      <c r="I84" s="18">
        <f t="shared" si="36"/>
        <v>1063938.638855458</v>
      </c>
      <c r="J84" s="18">
        <f t="shared" si="36"/>
        <v>1085217.4116325674</v>
      </c>
      <c r="K84" s="19">
        <f t="shared" si="36"/>
        <v>1106921.7598652188</v>
      </c>
      <c r="N84" s="3560"/>
      <c r="O84" s="3562"/>
      <c r="Z84" s="1719" t="s">
        <v>6461</v>
      </c>
      <c r="AA84" s="1721">
        <v>84</v>
      </c>
    </row>
    <row r="85" spans="1:27" ht="13.35" customHeight="1">
      <c r="A85" s="17" t="s">
        <v>572</v>
      </c>
      <c r="B85" s="18">
        <f t="shared" ref="B85:K85" si="37">$B$21*(1+$B$7)^(B78-1)</f>
        <v>-699326.27006399678</v>
      </c>
      <c r="C85" s="18">
        <f t="shared" si="37"/>
        <v>-720306.05816591659</v>
      </c>
      <c r="D85" s="18">
        <f t="shared" si="37"/>
        <v>-741915.23991089419</v>
      </c>
      <c r="E85" s="18">
        <f t="shared" si="37"/>
        <v>-764172.69710822112</v>
      </c>
      <c r="F85" s="18">
        <f t="shared" si="37"/>
        <v>-787097.87802146759</v>
      </c>
      <c r="G85" s="18">
        <f t="shared" si="37"/>
        <v>-810710.81436211162</v>
      </c>
      <c r="H85" s="18">
        <f t="shared" si="37"/>
        <v>-835032.13879297511</v>
      </c>
      <c r="I85" s="18">
        <f t="shared" si="37"/>
        <v>-860083.10295676417</v>
      </c>
      <c r="J85" s="18">
        <f t="shared" si="37"/>
        <v>-885885.59604546719</v>
      </c>
      <c r="K85" s="19">
        <f t="shared" si="37"/>
        <v>-912462.1639268311</v>
      </c>
      <c r="N85" s="3560"/>
      <c r="O85" s="3562"/>
      <c r="Z85" s="1719" t="s">
        <v>6461</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-46311</v>
      </c>
      <c r="C86" s="18">
        <f>IF(AND('Part VI-Pro Forma'!$G$9="Yes",'Part VI-Pro Forma'!$G$10="Yes"),"Choose One!",IF('Part VI-Pro Forma'!$G$9="Yes",ROUND((-$K$9*(1+'Part VI-Pro Forma'!$B$7)^('Part VI-Pro Forma'!C78-1)),),IF('Part VI-Pro Forma'!$G$10="Yes",ROUND((-(SUM(C79:C82)*'Part VI-Pro Forma'!$K$10)),),"Choose mgt fee")))</f>
        <v>-47237</v>
      </c>
      <c r="D86" s="18">
        <f>IF(AND('Part VI-Pro Forma'!$G$9="Yes",'Part VI-Pro Forma'!$G$10="Yes"),"Choose One!",IF('Part VI-Pro Forma'!$G$9="Yes",ROUND((-$K$9*(1+'Part VI-Pro Forma'!$B$7)^('Part VI-Pro Forma'!D78-1)),),IF('Part VI-Pro Forma'!$G$10="Yes",ROUND((-(SUM(D79:D82)*'Part VI-Pro Forma'!$K$10)),),"Choose mgt fee")))</f>
        <v>-48182</v>
      </c>
      <c r="E86" s="18">
        <f>IF(AND('Part VI-Pro Forma'!$G$9="Yes",'Part VI-Pro Forma'!$G$10="Yes"),"Choose One!",IF('Part VI-Pro Forma'!$G$9="Yes",ROUND((-$K$9*(1+'Part VI-Pro Forma'!$B$7)^('Part VI-Pro Forma'!E78-1)),),IF('Part VI-Pro Forma'!$G$10="Yes",ROUND((-(SUM(E79:E82)*'Part VI-Pro Forma'!$K$10)),),"Choose mgt fee")))</f>
        <v>-49146</v>
      </c>
      <c r="F86" s="18">
        <f>IF(AND('Part VI-Pro Forma'!$G$9="Yes",'Part VI-Pro Forma'!$G$10="Yes"),"Choose One!",IF('Part VI-Pro Forma'!$G$9="Yes",ROUND((-$K$9*(1+'Part VI-Pro Forma'!$B$7)^('Part VI-Pro Forma'!F78-1)),),IF('Part VI-Pro Forma'!$G$10="Yes",ROUND((-(SUM(F79:F82)*'Part VI-Pro Forma'!$K$10)),),"Choose mgt fee")))</f>
        <v>-50129</v>
      </c>
      <c r="G86" s="18">
        <f>IF(AND('Part VI-Pro Forma'!$G$9="Yes",'Part VI-Pro Forma'!$G$10="Yes"),"Choose One!",IF('Part VI-Pro Forma'!$G$9="Yes",ROUND((-$K$9*(1+'Part VI-Pro Forma'!$B$7)^('Part VI-Pro Forma'!G78-1)),),IF('Part VI-Pro Forma'!$G$10="Yes",ROUND((-(SUM(G79:G82)*'Part VI-Pro Forma'!$K$10)),),"Choose mgt fee")))</f>
        <v>-51131</v>
      </c>
      <c r="H86" s="18">
        <f>IF(AND('Part VI-Pro Forma'!$G$9="Yes",'Part VI-Pro Forma'!$G$10="Yes"),"Choose One!",IF('Part VI-Pro Forma'!$G$9="Yes",ROUND((-$K$9*(1+'Part VI-Pro Forma'!$B$7)^('Part VI-Pro Forma'!H78-1)),),IF('Part VI-Pro Forma'!$G$10="Yes",ROUND((-(SUM(H79:H82)*'Part VI-Pro Forma'!$K$10)),),"Choose mgt fee")))</f>
        <v>-52154</v>
      </c>
      <c r="I86" s="18">
        <f>IF(AND('Part VI-Pro Forma'!$G$9="Yes",'Part VI-Pro Forma'!$G$10="Yes"),"Choose One!",IF('Part VI-Pro Forma'!$G$9="Yes",ROUND((-$K$9*(1+'Part VI-Pro Forma'!$B$7)^('Part VI-Pro Forma'!I78-1)),),IF('Part VI-Pro Forma'!$G$10="Yes",ROUND((-(SUM(I79:I82)*'Part VI-Pro Forma'!$K$10)),),"Choose mgt fee")))</f>
        <v>-53197</v>
      </c>
      <c r="J86" s="18">
        <f>IF(AND('Part VI-Pro Forma'!$G$9="Yes",'Part VI-Pro Forma'!$G$10="Yes"),"Choose One!",IF('Part VI-Pro Forma'!$G$9="Yes",ROUND((-$K$9*(1+'Part VI-Pro Forma'!$B$7)^('Part VI-Pro Forma'!J78-1)),),IF('Part VI-Pro Forma'!$G$10="Yes",ROUND((-(SUM(J79:J82)*'Part VI-Pro Forma'!$K$10)),),"Choose mgt fee")))</f>
        <v>-54261</v>
      </c>
      <c r="K86" s="19">
        <f>IF(AND('Part VI-Pro Forma'!$G$9="Yes",'Part VI-Pro Forma'!$G$10="Yes"),"Choose One!",IF('Part VI-Pro Forma'!$G$9="Yes",ROUND((-$K$9*(1+'Part VI-Pro Forma'!$B$7)^('Part VI-Pro Forma'!K78-1)),),IF('Part VI-Pro Forma'!$G$10="Yes",ROUND((-(SUM(K79:K82)*'Part VI-Pro Forma'!$K$10)),),"Choose mgt fee")))</f>
        <v>-55346</v>
      </c>
      <c r="N86" s="3560"/>
      <c r="O86" s="3562"/>
      <c r="Z86" s="1719" t="s">
        <v>6461</v>
      </c>
      <c r="AA86" s="1721">
        <v>86</v>
      </c>
    </row>
    <row r="87" spans="1:27" ht="13.35" customHeight="1">
      <c r="A87" s="17" t="s">
        <v>1128</v>
      </c>
      <c r="B87" s="18">
        <f t="shared" ref="B87:K87" si="38">$B$23*(1+$B$8)^(B78-1)</f>
        <v>-57651.070610647672</v>
      </c>
      <c r="C87" s="18">
        <f t="shared" si="38"/>
        <v>-59380.602728967096</v>
      </c>
      <c r="D87" s="18">
        <f t="shared" si="38"/>
        <v>-61162.020810836111</v>
      </c>
      <c r="E87" s="18">
        <f t="shared" si="38"/>
        <v>-62996.881435161202</v>
      </c>
      <c r="F87" s="18">
        <f t="shared" si="38"/>
        <v>-64886.787878216026</v>
      </c>
      <c r="G87" s="18">
        <f t="shared" si="38"/>
        <v>-66833.391514562507</v>
      </c>
      <c r="H87" s="18">
        <f t="shared" si="38"/>
        <v>-68838.393259999386</v>
      </c>
      <c r="I87" s="18">
        <f t="shared" si="38"/>
        <v>-70903.545057799362</v>
      </c>
      <c r="J87" s="18">
        <f t="shared" si="38"/>
        <v>-73030.65140953334</v>
      </c>
      <c r="K87" s="19">
        <f t="shared" si="38"/>
        <v>-75221.570951819333</v>
      </c>
      <c r="N87" s="3560"/>
      <c r="O87" s="3562"/>
      <c r="Q87" s="92"/>
      <c r="R87" s="869"/>
      <c r="S87" s="869"/>
      <c r="Z87" s="1719" t="s">
        <v>6461</v>
      </c>
      <c r="AA87" s="1721">
        <v>87</v>
      </c>
    </row>
    <row r="88" spans="1:27" ht="13.35"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6461</v>
      </c>
      <c r="AA88" s="1721">
        <v>88</v>
      </c>
    </row>
    <row r="89" spans="1:27" ht="13.35" customHeight="1">
      <c r="A89" s="17" t="s">
        <v>1129</v>
      </c>
      <c r="B89" s="18">
        <f t="shared" ref="B89:K89" si="39">SUM(B84:B88)</f>
        <v>122934.27080160764</v>
      </c>
      <c r="C89" s="18">
        <f t="shared" si="39"/>
        <v>117823.40281089337</v>
      </c>
      <c r="D89" s="18">
        <f t="shared" si="39"/>
        <v>112382.74425816245</v>
      </c>
      <c r="E89" s="18">
        <f t="shared" si="39"/>
        <v>106599.26653610813</v>
      </c>
      <c r="F89" s="18">
        <f t="shared" si="39"/>
        <v>100459.47608139655</v>
      </c>
      <c r="G89" s="18">
        <f t="shared" si="39"/>
        <v>93949.398944027518</v>
      </c>
      <c r="H89" s="18">
        <f t="shared" si="39"/>
        <v>87052.564864141474</v>
      </c>
      <c r="I89" s="18">
        <f t="shared" si="39"/>
        <v>79754.990840894476</v>
      </c>
      <c r="J89" s="18">
        <f t="shared" si="39"/>
        <v>72040.164177566883</v>
      </c>
      <c r="K89" s="1215">
        <f t="shared" si="39"/>
        <v>63892.024986568344</v>
      </c>
      <c r="N89" s="3560"/>
      <c r="O89" s="3562"/>
      <c r="Z89" s="1719" t="s">
        <v>6461</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60"/>
      <c r="O90" s="3562"/>
      <c r="Z90" s="1719" t="s">
        <v>6461</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6461</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6461</v>
      </c>
      <c r="AA93" s="1721">
        <v>93</v>
      </c>
    </row>
    <row r="94" spans="1:27" ht="13.35" customHeight="1">
      <c r="A94" s="17" t="s">
        <v>711</v>
      </c>
      <c r="B94" s="138"/>
      <c r="C94" s="138"/>
      <c r="D94" s="138"/>
      <c r="E94" s="138"/>
      <c r="F94" s="138"/>
      <c r="G94" s="138"/>
      <c r="H94" s="138"/>
      <c r="I94" s="138"/>
      <c r="J94" s="138"/>
      <c r="K94" s="138"/>
      <c r="N94" s="3560"/>
      <c r="O94" s="3562"/>
      <c r="Z94" s="1719" t="s">
        <v>6461</v>
      </c>
      <c r="AA94" s="1721">
        <v>94</v>
      </c>
    </row>
    <row r="95" spans="1:27" ht="13.35"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60"/>
      <c r="O95" s="3562"/>
      <c r="Z95" s="1719" t="s">
        <v>6461</v>
      </c>
      <c r="AA95" s="1721">
        <v>95</v>
      </c>
    </row>
    <row r="96" spans="1:27" ht="13.35" customHeight="1">
      <c r="A96" s="17" t="s">
        <v>1096</v>
      </c>
      <c r="B96" s="18">
        <f t="shared" ref="B96:K96" si="41">SUM(B89:B95)</f>
        <v>122934.27080160764</v>
      </c>
      <c r="C96" s="18">
        <f t="shared" si="41"/>
        <v>117823.40281089337</v>
      </c>
      <c r="D96" s="18">
        <f t="shared" si="41"/>
        <v>112382.74425816245</v>
      </c>
      <c r="E96" s="18">
        <f t="shared" si="41"/>
        <v>106599.26653610813</v>
      </c>
      <c r="F96" s="18">
        <f t="shared" si="41"/>
        <v>100459.47608139655</v>
      </c>
      <c r="G96" s="18">
        <f t="shared" si="41"/>
        <v>93949.398944027518</v>
      </c>
      <c r="H96" s="18">
        <f t="shared" si="41"/>
        <v>87052.564864141474</v>
      </c>
      <c r="I96" s="18">
        <f t="shared" si="41"/>
        <v>79754.990840894476</v>
      </c>
      <c r="J96" s="18">
        <f t="shared" si="41"/>
        <v>72040.164177566883</v>
      </c>
      <c r="K96" s="19">
        <f t="shared" si="41"/>
        <v>63892.024986568344</v>
      </c>
      <c r="N96" s="3560"/>
      <c r="O96" s="3562"/>
      <c r="Z96" s="1719" t="s">
        <v>6461</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60"/>
      <c r="O97" s="3562"/>
      <c r="Z97" s="1719" t="s">
        <v>6461</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6461</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6461</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6461</v>
      </c>
      <c r="AA100" s="1721">
        <v>100</v>
      </c>
    </row>
    <row r="101" spans="1:27" ht="13.35" customHeight="1">
      <c r="A101" s="341" t="s">
        <v>3213</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60"/>
      <c r="O101" s="3562"/>
      <c r="Z101" s="1719" t="s">
        <v>6461</v>
      </c>
      <c r="AA101" s="1721">
        <v>101</v>
      </c>
    </row>
    <row r="102" spans="1:27" ht="13.35" customHeight="1">
      <c r="A102" s="17" t="s">
        <v>718</v>
      </c>
      <c r="B102" s="220">
        <f>IF(OR(B86="Choose mgt fee",B86="Choose One!"),"",(B79+B80+B81+B82+B83) / -(B85+B86+B87))</f>
        <v>1.1530387839295175</v>
      </c>
      <c r="C102" s="220">
        <f t="shared" ref="C102:K102" si="47">IF(OR(C86="Choose mgt fee",C86="Choose One!"),"",(C79+C80+C81+C82+C83) / -(C85+C86+C87))</f>
        <v>1.1424840144051347</v>
      </c>
      <c r="D102" s="220">
        <f t="shared" si="47"/>
        <v>1.1320194087085527</v>
      </c>
      <c r="E102" s="220">
        <f t="shared" si="47"/>
        <v>1.1216448379398871</v>
      </c>
      <c r="F102" s="220">
        <f t="shared" si="47"/>
        <v>1.111360108907349</v>
      </c>
      <c r="G102" s="220">
        <f t="shared" si="47"/>
        <v>1.1011649695711847</v>
      </c>
      <c r="H102" s="220">
        <f t="shared" si="47"/>
        <v>1.0910568316455271</v>
      </c>
      <c r="I102" s="220">
        <f t="shared" si="47"/>
        <v>1.0810366957445268</v>
      </c>
      <c r="J102" s="220">
        <f t="shared" si="47"/>
        <v>1.0711032194598966</v>
      </c>
      <c r="K102" s="221">
        <f t="shared" si="47"/>
        <v>1.0612561874796425</v>
      </c>
      <c r="N102" s="3560"/>
      <c r="O102" s="3562"/>
      <c r="Z102" s="1719" t="s">
        <v>6461</v>
      </c>
      <c r="AA102" s="1721">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560"/>
      <c r="O103" s="3562"/>
      <c r="Z103" s="1719" t="s">
        <v>6461</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6461</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3"/>
      <c r="O106" s="3575"/>
      <c r="Z106" s="1719" t="s">
        <v>6461</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1190238.4514679771</v>
      </c>
      <c r="C109" s="15">
        <f>$B$15*(1+$B$6)^(C108-1)</f>
        <v>1214043.2204973365</v>
      </c>
      <c r="D109" s="15">
        <f>$B$15*(1+$B$6)^(D108-1)</f>
        <v>1238324.0849072833</v>
      </c>
      <c r="E109" s="15">
        <f>$B$15*(1+$B$6)^(E108-1)</f>
        <v>1263090.5666054292</v>
      </c>
      <c r="F109" s="497">
        <f>$B$15*(1+$B$6)^(F108-1)</f>
        <v>1288352.3779375376</v>
      </c>
      <c r="G109" s="13"/>
      <c r="H109" s="13"/>
      <c r="I109" s="13"/>
      <c r="J109" s="13"/>
      <c r="K109" s="13"/>
      <c r="N109" s="3563"/>
      <c r="O109" s="3565"/>
      <c r="Z109" s="1719" t="s">
        <v>6462</v>
      </c>
      <c r="AA109" s="1721">
        <v>109</v>
      </c>
    </row>
    <row r="110" spans="1:27" ht="13.35" customHeight="1">
      <c r="A110" s="17" t="s">
        <v>952</v>
      </c>
      <c r="B110" s="18">
        <f>$B$16*(1+$B$6)^(B108-1)</f>
        <v>23804.769029359544</v>
      </c>
      <c r="C110" s="18">
        <f>$B$16*(1+$B$6)^(C108-1)</f>
        <v>24280.864409946727</v>
      </c>
      <c r="D110" s="18">
        <f>$B$16*(1+$B$6)^(D108-1)</f>
        <v>24766.481698145668</v>
      </c>
      <c r="E110" s="18">
        <f>$B$16*(1+$B$6)^(E108-1)</f>
        <v>25261.811332108584</v>
      </c>
      <c r="F110" s="19">
        <f>$B$16*(1+$B$6)^(F108-1)</f>
        <v>25767.047558750754</v>
      </c>
      <c r="G110" s="13"/>
      <c r="H110" s="13"/>
      <c r="I110" s="13"/>
      <c r="J110" s="13"/>
      <c r="K110" s="13"/>
      <c r="N110" s="3560"/>
      <c r="O110" s="3562"/>
      <c r="Z110" s="1719" t="s">
        <v>6462</v>
      </c>
      <c r="AA110" s="1721">
        <v>110</v>
      </c>
    </row>
    <row r="111" spans="1:27" ht="13.35" customHeight="1">
      <c r="A111" s="17" t="s">
        <v>2216</v>
      </c>
      <c r="B111" s="18">
        <f>-(B109+B110)*$B$9</f>
        <v>-84983.025434813579</v>
      </c>
      <c r="C111" s="18">
        <f>-(C109+C110)*$B$9</f>
        <v>-86682.685943509845</v>
      </c>
      <c r="D111" s="18">
        <f>-(D109+D110)*$B$9</f>
        <v>-88416.339662380036</v>
      </c>
      <c r="E111" s="18">
        <f>-(E109+E110)*$B$9</f>
        <v>-90184.666455627652</v>
      </c>
      <c r="F111" s="19">
        <f>-(F109+F110)*$B$9</f>
        <v>-91988.359784740198</v>
      </c>
      <c r="G111" s="13"/>
      <c r="H111" s="13"/>
      <c r="I111" s="13"/>
      <c r="J111" s="13"/>
      <c r="K111" s="13"/>
      <c r="N111" s="3560"/>
      <c r="O111" s="3562"/>
      <c r="Z111" s="1719" t="s">
        <v>6462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6462</v>
      </c>
      <c r="AA113" s="1721">
        <v>113</v>
      </c>
    </row>
    <row r="114" spans="1:27" ht="13.35" customHeight="1">
      <c r="A114" s="341" t="s">
        <v>3836</v>
      </c>
      <c r="B114" s="18">
        <f>SUM(B109:B113)</f>
        <v>1129060.1950625232</v>
      </c>
      <c r="C114" s="18">
        <f>SUM(C109:C113)</f>
        <v>1151641.3989637734</v>
      </c>
      <c r="D114" s="18">
        <f>SUM(D109:D113)</f>
        <v>1174674.2269430489</v>
      </c>
      <c r="E114" s="18">
        <f>SUM(E109:E113)</f>
        <v>1198167.7114819102</v>
      </c>
      <c r="F114" s="19">
        <f>SUM(F109:F113)</f>
        <v>1222131.0657115481</v>
      </c>
      <c r="G114" s="13"/>
      <c r="H114" s="13"/>
      <c r="I114" s="13"/>
      <c r="J114" s="13"/>
      <c r="K114" s="13"/>
      <c r="N114" s="3560"/>
      <c r="O114" s="3562"/>
      <c r="Z114" s="1719" t="s">
        <v>6462</v>
      </c>
      <c r="AA114" s="1721">
        <v>114</v>
      </c>
    </row>
    <row r="115" spans="1:27" ht="13.35" customHeight="1">
      <c r="A115" s="17" t="s">
        <v>572</v>
      </c>
      <c r="B115" s="18">
        <f>$B$21*(1+$B$7)^(B108-1)</f>
        <v>-939836.02884463605</v>
      </c>
      <c r="C115" s="18">
        <f>$B$21*(1+$B$7)^(C108-1)</f>
        <v>-968031.10970997519</v>
      </c>
      <c r="D115" s="18">
        <f>$B$21*(1+$B$7)^(D108-1)</f>
        <v>-997072.04300127435</v>
      </c>
      <c r="E115" s="18">
        <f>$B$21*(1+$B$7)^(E108-1)</f>
        <v>-1026984.2042913126</v>
      </c>
      <c r="F115" s="19">
        <f>$B$21*(1+$B$7)^(F108-1)</f>
        <v>-1057793.7304200518</v>
      </c>
      <c r="G115" s="13"/>
      <c r="H115" s="13"/>
      <c r="I115" s="13"/>
      <c r="J115" s="13"/>
      <c r="K115" s="13"/>
      <c r="N115" s="3560"/>
      <c r="O115" s="3562"/>
      <c r="Z115" s="1719" t="s">
        <v>6462</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-56453</v>
      </c>
      <c r="C116" s="18">
        <f>IF(AND('Part VI-Pro Forma'!$G$9="Yes",'Part VI-Pro Forma'!$G$10="Yes"),"Choose One!",IF('Part VI-Pro Forma'!$G$9="Yes",ROUND((-$K$9*(1+'Part VI-Pro Forma'!$B$7)^('Part VI-Pro Forma'!C108-1)),),IF('Part VI-Pro Forma'!$G$10="Yes",ROUND((-(SUM(C109:C112)*'Part VI-Pro Forma'!$K$10)),),"Choose mgt fee")))</f>
        <v>-57582</v>
      </c>
      <c r="D116" s="18">
        <f>IF(AND('Part VI-Pro Forma'!$G$9="Yes",'Part VI-Pro Forma'!$G$10="Yes"),"Choose One!",IF('Part VI-Pro Forma'!$G$9="Yes",ROUND((-$K$9*(1+'Part VI-Pro Forma'!$B$7)^('Part VI-Pro Forma'!D108-1)),),IF('Part VI-Pro Forma'!$G$10="Yes",ROUND((-(SUM(D109:D112)*'Part VI-Pro Forma'!$K$10)),),"Choose mgt fee")))</f>
        <v>-58734</v>
      </c>
      <c r="E116" s="18">
        <f>IF(AND('Part VI-Pro Forma'!$G$9="Yes",'Part VI-Pro Forma'!$G$10="Yes"),"Choose One!",IF('Part VI-Pro Forma'!$G$9="Yes",ROUND((-$K$9*(1+'Part VI-Pro Forma'!$B$7)^('Part VI-Pro Forma'!E108-1)),),IF('Part VI-Pro Forma'!$G$10="Yes",ROUND((-(SUM(E109:E112)*'Part VI-Pro Forma'!$K$10)),),"Choose mgt fee")))</f>
        <v>-59908</v>
      </c>
      <c r="F116" s="19">
        <f>IF(AND('Part VI-Pro Forma'!$G$9="Yes",'Part VI-Pro Forma'!$G$10="Yes"),"Choose One!",IF('Part VI-Pro Forma'!$G$9="Yes",ROUND((-$K$9*(1+'Part VI-Pro Forma'!$B$7)^('Part VI-Pro Forma'!F108-1)),),IF('Part VI-Pro Forma'!$G$10="Yes",ROUND((-(SUM(F109:F112)*'Part VI-Pro Forma'!$K$10)),),"Choose mgt fee")))</f>
        <v>-61107</v>
      </c>
      <c r="G116" s="13"/>
      <c r="H116" s="13"/>
      <c r="I116" s="13"/>
      <c r="J116" s="13"/>
      <c r="K116" s="13"/>
      <c r="N116" s="3560"/>
      <c r="O116" s="3562"/>
      <c r="Z116" s="1719" t="s">
        <v>6462</v>
      </c>
      <c r="AA116" s="1721">
        <v>116</v>
      </c>
    </row>
    <row r="117" spans="1:27" ht="13.35" customHeight="1">
      <c r="A117" s="17" t="s">
        <v>1128</v>
      </c>
      <c r="B117" s="18">
        <f>$B$23*(1+$B$8)^(B108-1)</f>
        <v>-77478.218080373917</v>
      </c>
      <c r="C117" s="18">
        <f>$B$23*(1+$B$8)^(C108-1)</f>
        <v>-79802.564622785154</v>
      </c>
      <c r="D117" s="18">
        <f>$B$23*(1+$B$8)^(D108-1)</f>
        <v>-82196.641561468685</v>
      </c>
      <c r="E117" s="18">
        <f>$B$23*(1+$B$8)^(E108-1)</f>
        <v>-84662.540808312755</v>
      </c>
      <c r="F117" s="19">
        <f>$B$23*(1+$B$8)^(F108-1)</f>
        <v>-87202.417032562123</v>
      </c>
      <c r="G117" s="13"/>
      <c r="H117" s="13"/>
      <c r="I117" s="13"/>
      <c r="J117" s="13"/>
      <c r="K117" s="13"/>
      <c r="N117" s="3560"/>
      <c r="O117" s="3562"/>
      <c r="Q117" s="92">
        <v>10</v>
      </c>
      <c r="R117" s="869">
        <f>-SUM(B123:K123)</f>
        <v>0</v>
      </c>
      <c r="S117" s="869">
        <f>SUM(B124:K124)+R117</f>
        <v>0</v>
      </c>
      <c r="Z117" s="1719" t="s">
        <v>6462</v>
      </c>
      <c r="AA117" s="1721">
        <v>117</v>
      </c>
    </row>
    <row r="118" spans="1:27" ht="13.35"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6462</v>
      </c>
      <c r="AA118" s="1721">
        <v>118</v>
      </c>
    </row>
    <row r="119" spans="1:27" ht="13.35" customHeight="1">
      <c r="A119" s="17" t="s">
        <v>1129</v>
      </c>
      <c r="B119" s="18">
        <f>SUM(B114:B118)</f>
        <v>55292.948137513275</v>
      </c>
      <c r="C119" s="18">
        <f>SUM(C114:C118)</f>
        <v>46225.724631013043</v>
      </c>
      <c r="D119" s="18">
        <f>SUM(D114:D118)</f>
        <v>36671.542380305851</v>
      </c>
      <c r="E119" s="18">
        <f>SUM(E114:E118)</f>
        <v>26612.966382284838</v>
      </c>
      <c r="F119" s="1215">
        <f>SUM(F114:F118)</f>
        <v>16027.918258934122</v>
      </c>
      <c r="G119" s="13"/>
      <c r="H119" s="13"/>
      <c r="I119" s="13"/>
      <c r="J119" s="13"/>
      <c r="K119" s="13"/>
      <c r="N119" s="3560"/>
      <c r="O119" s="3562"/>
      <c r="Z119" s="1719" t="s">
        <v>6462</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60"/>
      <c r="O120" s="3562"/>
      <c r="Z120" s="1719" t="s">
        <v>6462</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6462</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6462</v>
      </c>
      <c r="AA123" s="1721">
        <v>123</v>
      </c>
    </row>
    <row r="124" spans="1:27" ht="13.35" customHeight="1">
      <c r="A124" s="17" t="s">
        <v>711</v>
      </c>
      <c r="B124" s="138"/>
      <c r="C124" s="138"/>
      <c r="D124" s="138"/>
      <c r="E124" s="138"/>
      <c r="F124" s="138"/>
      <c r="G124" s="13"/>
      <c r="H124" s="13"/>
      <c r="I124" s="13"/>
      <c r="J124" s="13"/>
      <c r="K124" s="13"/>
      <c r="N124" s="3560"/>
      <c r="O124" s="3562"/>
      <c r="Z124" s="1719" t="s">
        <v>6462</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60"/>
      <c r="O125" s="3562"/>
      <c r="Z125" s="1719" t="s">
        <v>6462</v>
      </c>
      <c r="AA125" s="1721">
        <v>125</v>
      </c>
    </row>
    <row r="126" spans="1:27" ht="13.35" customHeight="1">
      <c r="A126" s="17" t="s">
        <v>1096</v>
      </c>
      <c r="B126" s="18">
        <f>SUM(B119:B125)</f>
        <v>55292.948137513275</v>
      </c>
      <c r="C126" s="18">
        <f>SUM(C119:C125)</f>
        <v>46225.724631013043</v>
      </c>
      <c r="D126" s="18">
        <f>SUM(D119:D125)</f>
        <v>36671.542380305851</v>
      </c>
      <c r="E126" s="18">
        <f>SUM(E119:E125)</f>
        <v>26612.966382284838</v>
      </c>
      <c r="F126" s="19">
        <f>SUM(F119:F125)</f>
        <v>16027.918258934122</v>
      </c>
      <c r="G126" s="13"/>
      <c r="H126" s="13"/>
      <c r="I126" s="13"/>
      <c r="J126" s="13"/>
      <c r="K126" s="13"/>
      <c r="N126" s="3560"/>
      <c r="O126" s="3562"/>
      <c r="Z126" s="1719" t="s">
        <v>6462</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60"/>
      <c r="O127" s="3562"/>
      <c r="Z127" s="1719" t="s">
        <v>6462</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6462</v>
      </c>
      <c r="AA130" s="1721">
        <v>130</v>
      </c>
    </row>
    <row r="131" spans="1:27" ht="13.35" customHeight="1">
      <c r="A131" s="341"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60"/>
      <c r="O131" s="3562"/>
      <c r="Z131" s="1719" t="s">
        <v>6462</v>
      </c>
      <c r="AA131" s="1721">
        <v>131</v>
      </c>
    </row>
    <row r="132" spans="1:27" ht="13.35" customHeight="1">
      <c r="A132" s="17" t="s">
        <v>718</v>
      </c>
      <c r="B132" s="220">
        <f>IF(OR(B116="Choose mgt fee",B116="Choose One!"),"",(B109+B110+B111+B112+B113) / -(B115+B116+B117))</f>
        <v>1.0514943515886315</v>
      </c>
      <c r="C132" s="220">
        <f>IF(OR(C116="Choose mgt fee",C116="Choose One!"),"",(C109+C110+C111+C112+C113) / -(C115+C116+C117))</f>
        <v>1.0418175042242959</v>
      </c>
      <c r="D132" s="220">
        <f>IF(OR(D116="Choose mgt fee",D116="Choose One!"),"",(D109+D110+D111+D112+D113) / -(D115+D116+D117))</f>
        <v>1.0322244779188692</v>
      </c>
      <c r="E132" s="220">
        <f>IF(OR(E116="Choose mgt fee",E116="Choose One!"),"",(E109+E110+E111+E112+E113) / -(E115+E116+E117))</f>
        <v>1.0227159392197434</v>
      </c>
      <c r="F132" s="498">
        <f>IF(OR(F116="Choose mgt fee",F116="Choose One!"),"",(F109+F110+F111+F112+F113) / -(F115+F116+F117))</f>
        <v>1.013289011219966</v>
      </c>
      <c r="G132" s="13"/>
      <c r="H132" s="13"/>
      <c r="I132" s="13"/>
      <c r="J132" s="13"/>
      <c r="K132" s="13"/>
      <c r="N132" s="3560"/>
      <c r="O132" s="3562"/>
      <c r="Z132" s="1719" t="s">
        <v>6462</v>
      </c>
      <c r="AA132" s="1721">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560"/>
      <c r="O133" s="3562"/>
      <c r="Z133" s="1719" t="s">
        <v>6462</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6462</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3"/>
      <c r="O136" s="3575"/>
      <c r="Z136" s="1719" t="s">
        <v>6462</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7089</v>
      </c>
      <c r="B140" s="3677"/>
      <c r="C140" s="3677"/>
      <c r="D140" s="3677"/>
      <c r="E140" s="3677"/>
      <c r="F140" s="3678"/>
      <c r="G140" s="3679"/>
      <c r="H140" s="3680"/>
      <c r="I140" s="3680"/>
      <c r="J140" s="3680"/>
      <c r="K140" s="3681"/>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37"/>
  <sheetViews>
    <sheetView showGridLines="0" topLeftCell="A289" zoomScaleNormal="100" workbookViewId="0">
      <selection activeCell="A218" sqref="A218:Q218"/>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2" t="str">
        <f>CONCATENATE("PART SEVEN - THRESHOLD CRITERIA","  -  ",'Part I-Project Identification'!$O$7," ",'Part I-Project Identification'!$F$25,", ",'Part I-Project Identification'!F26,", ",'Part I-Project Identification'!J26," County")</f>
        <v>PART SEVEN - THRESHOLD CRITERIA  -  2023-0 Freedom's Path Augusta III, Augusta, Richmond County</v>
      </c>
      <c r="B1" s="3682"/>
      <c r="C1" s="3682"/>
      <c r="D1" s="3682"/>
      <c r="E1" s="3682"/>
      <c r="F1" s="3682"/>
      <c r="G1" s="3682"/>
      <c r="H1" s="3682"/>
      <c r="I1" s="3682"/>
      <c r="J1" s="3682"/>
      <c r="K1" s="3682"/>
      <c r="L1" s="3682"/>
      <c r="M1" s="3682"/>
      <c r="N1" s="3682"/>
      <c r="O1" s="3682"/>
      <c r="P1" s="3682"/>
      <c r="Q1" s="3682"/>
    </row>
    <row r="2" spans="1:17" s="2011" customFormat="1" ht="12.75"/>
    <row r="3" spans="1:17" s="2011" customFormat="1" ht="12.75">
      <c r="A3" s="368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3"/>
      <c r="C3" s="3683"/>
      <c r="D3" s="3683"/>
      <c r="E3" s="3683"/>
      <c r="F3" s="3683"/>
      <c r="G3" s="3683"/>
      <c r="H3" s="368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3"/>
      <c r="J3" s="3683"/>
      <c r="K3" s="3683"/>
      <c r="L3" s="3683"/>
      <c r="M3" s="3683"/>
      <c r="N3" s="3683"/>
      <c r="O3" s="2012"/>
      <c r="P3" s="3684" t="s">
        <v>6769</v>
      </c>
      <c r="Q3" s="3686" t="s">
        <v>6529</v>
      </c>
    </row>
    <row r="4" spans="1:17" s="2011" customFormat="1" ht="12.75">
      <c r="A4" s="2013"/>
      <c r="B4" s="3688"/>
      <c r="C4" s="3688"/>
      <c r="D4" s="3688"/>
      <c r="E4" s="2013"/>
      <c r="F4" s="2013"/>
      <c r="G4" s="2013"/>
      <c r="H4" s="2013"/>
      <c r="I4" s="2012"/>
      <c r="J4" s="2014"/>
      <c r="K4" s="2013"/>
      <c r="L4" s="2013"/>
      <c r="M4" s="2013"/>
      <c r="N4" s="2013"/>
      <c r="O4" s="2012"/>
      <c r="P4" s="3684"/>
      <c r="Q4" s="3686"/>
    </row>
    <row r="5" spans="1:17" s="2011" customFormat="1" ht="12.75">
      <c r="A5" s="2012"/>
      <c r="B5" s="2012"/>
      <c r="C5" s="2012"/>
      <c r="D5" s="2012"/>
      <c r="E5" s="3689" t="str">
        <f>'Part I-Project Identification'!$A$6</f>
        <v>April 2023</v>
      </c>
      <c r="F5" s="3689"/>
      <c r="G5" s="3689"/>
      <c r="H5" s="3689"/>
      <c r="I5" s="3689"/>
      <c r="J5" s="2014"/>
      <c r="K5" s="2013"/>
      <c r="L5" s="2013"/>
      <c r="M5" s="2013"/>
      <c r="N5" s="2013"/>
      <c r="O5" s="2012"/>
      <c r="P5" s="3685"/>
      <c r="Q5" s="3687"/>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3" t="s">
        <v>6770</v>
      </c>
      <c r="B7" s="3693"/>
      <c r="C7" s="3693"/>
      <c r="D7" s="3693"/>
      <c r="E7" s="3693"/>
      <c r="F7" s="3693"/>
      <c r="G7" s="3693"/>
      <c r="H7" s="3693"/>
      <c r="I7" s="3693"/>
      <c r="J7" s="3693"/>
      <c r="K7" s="3693"/>
      <c r="L7" s="3693"/>
      <c r="M7" s="3693"/>
      <c r="N7" s="3693"/>
      <c r="O7" s="3693"/>
      <c r="P7" s="3693"/>
      <c r="Q7" s="3693"/>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6771</v>
      </c>
      <c r="B9" s="2019"/>
      <c r="C9" s="2019"/>
      <c r="D9" s="2019"/>
      <c r="E9" s="2019"/>
      <c r="F9" s="2019"/>
      <c r="G9" s="2019"/>
      <c r="H9" s="2019"/>
      <c r="I9" s="2020"/>
      <c r="J9" s="2020"/>
      <c r="K9" s="2021"/>
      <c r="L9" s="2021"/>
      <c r="M9" s="2021"/>
      <c r="N9" s="2021"/>
      <c r="O9" s="2021"/>
      <c r="P9" s="3694"/>
      <c r="Q9" s="3695"/>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6" t="s">
        <v>1329</v>
      </c>
      <c r="B11" s="3697"/>
      <c r="C11" s="3697"/>
      <c r="D11" s="3697"/>
      <c r="E11" s="3697"/>
      <c r="F11" s="3697"/>
      <c r="G11" s="3697"/>
      <c r="H11" s="3697"/>
      <c r="I11" s="3697"/>
      <c r="J11" s="3697"/>
      <c r="K11" s="3697"/>
      <c r="L11" s="3697"/>
      <c r="M11" s="3697"/>
      <c r="N11" s="3697"/>
      <c r="O11" s="3697"/>
      <c r="P11" s="3697"/>
      <c r="Q11" s="3698"/>
    </row>
    <row r="12" spans="1:17" s="2022" customFormat="1" ht="14.25">
      <c r="A12" s="3690" t="s">
        <v>218</v>
      </c>
      <c r="B12" s="3691"/>
      <c r="C12" s="3691"/>
      <c r="D12" s="3691"/>
      <c r="E12" s="3691"/>
      <c r="F12" s="3691"/>
      <c r="G12" s="3691"/>
      <c r="H12" s="3691"/>
      <c r="I12" s="3691"/>
      <c r="J12" s="3691"/>
      <c r="K12" s="3691"/>
      <c r="L12" s="3691"/>
      <c r="M12" s="3691"/>
      <c r="N12" s="3691"/>
      <c r="O12" s="3691"/>
      <c r="P12" s="3691"/>
      <c r="Q12" s="3692"/>
    </row>
    <row r="13" spans="1:17" s="2022" customFormat="1" ht="14.25">
      <c r="A13" s="3690" t="s">
        <v>1325</v>
      </c>
      <c r="B13" s="3691"/>
      <c r="C13" s="3691"/>
      <c r="D13" s="3691"/>
      <c r="E13" s="3691"/>
      <c r="F13" s="3691"/>
      <c r="G13" s="3691"/>
      <c r="H13" s="3691"/>
      <c r="I13" s="3691"/>
      <c r="J13" s="3691"/>
      <c r="K13" s="3691"/>
      <c r="L13" s="3691"/>
      <c r="M13" s="3691"/>
      <c r="N13" s="3691"/>
      <c r="O13" s="3691"/>
      <c r="P13" s="3691"/>
      <c r="Q13" s="3692"/>
    </row>
    <row r="14" spans="1:17" s="2022" customFormat="1" ht="14.25">
      <c r="A14" s="3690" t="s">
        <v>1326</v>
      </c>
      <c r="B14" s="3691"/>
      <c r="C14" s="3691"/>
      <c r="D14" s="3691"/>
      <c r="E14" s="3691"/>
      <c r="F14" s="3691"/>
      <c r="G14" s="3691"/>
      <c r="H14" s="3691"/>
      <c r="I14" s="3691"/>
      <c r="J14" s="3691"/>
      <c r="K14" s="3691"/>
      <c r="L14" s="3691"/>
      <c r="M14" s="3691"/>
      <c r="N14" s="3691"/>
      <c r="O14" s="3691"/>
      <c r="P14" s="3691"/>
      <c r="Q14" s="3692"/>
    </row>
    <row r="15" spans="1:17" s="2022" customFormat="1" ht="14.25">
      <c r="A15" s="3690" t="s">
        <v>1327</v>
      </c>
      <c r="B15" s="3691"/>
      <c r="C15" s="3691"/>
      <c r="D15" s="3691"/>
      <c r="E15" s="3691"/>
      <c r="F15" s="3691"/>
      <c r="G15" s="3691"/>
      <c r="H15" s="3691"/>
      <c r="I15" s="3691"/>
      <c r="J15" s="3691"/>
      <c r="K15" s="3691"/>
      <c r="L15" s="3691"/>
      <c r="M15" s="3691"/>
      <c r="N15" s="3691"/>
      <c r="O15" s="3691"/>
      <c r="P15" s="3691"/>
      <c r="Q15" s="3692"/>
    </row>
    <row r="16" spans="1:17" s="2022" customFormat="1" ht="14.25">
      <c r="A16" s="3690" t="s">
        <v>1328</v>
      </c>
      <c r="B16" s="3691"/>
      <c r="C16" s="3691"/>
      <c r="D16" s="3691"/>
      <c r="E16" s="3691"/>
      <c r="F16" s="3691"/>
      <c r="G16" s="3691"/>
      <c r="H16" s="3691"/>
      <c r="I16" s="3691"/>
      <c r="J16" s="3691"/>
      <c r="K16" s="3691"/>
      <c r="L16" s="3691"/>
      <c r="M16" s="3691"/>
      <c r="N16" s="3691"/>
      <c r="O16" s="3691"/>
      <c r="P16" s="3691"/>
      <c r="Q16" s="3692"/>
    </row>
    <row r="17" spans="1:17" s="2022" customFormat="1" ht="14.25">
      <c r="A17" s="3690" t="s">
        <v>1330</v>
      </c>
      <c r="B17" s="3691"/>
      <c r="C17" s="3691"/>
      <c r="D17" s="3691"/>
      <c r="E17" s="3691"/>
      <c r="F17" s="3691"/>
      <c r="G17" s="3691"/>
      <c r="H17" s="3691"/>
      <c r="I17" s="3691"/>
      <c r="J17" s="3691"/>
      <c r="K17" s="3691"/>
      <c r="L17" s="3691"/>
      <c r="M17" s="3691"/>
      <c r="N17" s="3691"/>
      <c r="O17" s="3691"/>
      <c r="P17" s="3691"/>
      <c r="Q17" s="3692"/>
    </row>
    <row r="18" spans="1:17" s="2022" customFormat="1" ht="14.25">
      <c r="A18" s="3690" t="s">
        <v>1872</v>
      </c>
      <c r="B18" s="3691"/>
      <c r="C18" s="3691"/>
      <c r="D18" s="3691"/>
      <c r="E18" s="3691"/>
      <c r="F18" s="3691"/>
      <c r="G18" s="3691"/>
      <c r="H18" s="3691"/>
      <c r="I18" s="3691"/>
      <c r="J18" s="3691"/>
      <c r="K18" s="3691"/>
      <c r="L18" s="3691"/>
      <c r="M18" s="3691"/>
      <c r="N18" s="3691"/>
      <c r="O18" s="3691"/>
      <c r="P18" s="3691"/>
      <c r="Q18" s="3692"/>
    </row>
    <row r="19" spans="1:17" s="2022" customFormat="1" ht="14.25">
      <c r="A19" s="3690" t="s">
        <v>1873</v>
      </c>
      <c r="B19" s="3691"/>
      <c r="C19" s="3691"/>
      <c r="D19" s="3691"/>
      <c r="E19" s="3691"/>
      <c r="F19" s="3691"/>
      <c r="G19" s="3691"/>
      <c r="H19" s="3691"/>
      <c r="I19" s="3691"/>
      <c r="J19" s="3691"/>
      <c r="K19" s="3691"/>
      <c r="L19" s="3691"/>
      <c r="M19" s="3691"/>
      <c r="N19" s="3691"/>
      <c r="O19" s="3691"/>
      <c r="P19" s="3691"/>
      <c r="Q19" s="3692"/>
    </row>
    <row r="20" spans="1:17" s="2022" customFormat="1" ht="14.25">
      <c r="A20" s="3690" t="s">
        <v>1874</v>
      </c>
      <c r="B20" s="3691"/>
      <c r="C20" s="3691"/>
      <c r="D20" s="3691"/>
      <c r="E20" s="3691"/>
      <c r="F20" s="3691"/>
      <c r="G20" s="3691"/>
      <c r="H20" s="3691"/>
      <c r="I20" s="3691"/>
      <c r="J20" s="3691"/>
      <c r="K20" s="3691"/>
      <c r="L20" s="3691"/>
      <c r="M20" s="3691"/>
      <c r="N20" s="3691"/>
      <c r="O20" s="3691"/>
      <c r="P20" s="3691"/>
      <c r="Q20" s="3692"/>
    </row>
    <row r="21" spans="1:17" s="2022" customFormat="1" ht="14.25">
      <c r="A21" s="3690" t="s">
        <v>1875</v>
      </c>
      <c r="B21" s="3691"/>
      <c r="C21" s="3691"/>
      <c r="D21" s="3691"/>
      <c r="E21" s="3691"/>
      <c r="F21" s="3691"/>
      <c r="G21" s="3691"/>
      <c r="H21" s="3691"/>
      <c r="I21" s="3691"/>
      <c r="J21" s="3691"/>
      <c r="K21" s="3691"/>
      <c r="L21" s="3691"/>
      <c r="M21" s="3691"/>
      <c r="N21" s="3691"/>
      <c r="O21" s="3691"/>
      <c r="P21" s="3691"/>
      <c r="Q21" s="3692"/>
    </row>
    <row r="22" spans="1:17" s="2022" customFormat="1" ht="14.25">
      <c r="A22" s="3690" t="s">
        <v>1876</v>
      </c>
      <c r="B22" s="3691"/>
      <c r="C22" s="3691"/>
      <c r="D22" s="3691"/>
      <c r="E22" s="3691"/>
      <c r="F22" s="3691"/>
      <c r="G22" s="3691"/>
      <c r="H22" s="3691"/>
      <c r="I22" s="3691"/>
      <c r="J22" s="3691"/>
      <c r="K22" s="3691"/>
      <c r="L22" s="3691"/>
      <c r="M22" s="3691"/>
      <c r="N22" s="3691"/>
      <c r="O22" s="3691"/>
      <c r="P22" s="3691"/>
      <c r="Q22" s="3692"/>
    </row>
    <row r="23" spans="1:17" s="2022" customFormat="1" ht="14.25">
      <c r="A23" s="3690" t="s">
        <v>1877</v>
      </c>
      <c r="B23" s="3691"/>
      <c r="C23" s="3691"/>
      <c r="D23" s="3691"/>
      <c r="E23" s="3691"/>
      <c r="F23" s="3691"/>
      <c r="G23" s="3691"/>
      <c r="H23" s="3691"/>
      <c r="I23" s="3691"/>
      <c r="J23" s="3691"/>
      <c r="K23" s="3691"/>
      <c r="L23" s="3691"/>
      <c r="M23" s="3691"/>
      <c r="N23" s="3691"/>
      <c r="O23" s="3691"/>
      <c r="P23" s="3691"/>
      <c r="Q23" s="3692"/>
    </row>
    <row r="24" spans="1:17" s="2022" customFormat="1" ht="14.25">
      <c r="A24" s="3690" t="s">
        <v>1878</v>
      </c>
      <c r="B24" s="3691"/>
      <c r="C24" s="3691"/>
      <c r="D24" s="3691"/>
      <c r="E24" s="3691"/>
      <c r="F24" s="3691"/>
      <c r="G24" s="3691"/>
      <c r="H24" s="3691"/>
      <c r="I24" s="3691"/>
      <c r="J24" s="3691"/>
      <c r="K24" s="3691"/>
      <c r="L24" s="3691"/>
      <c r="M24" s="3691"/>
      <c r="N24" s="3691"/>
      <c r="O24" s="3691"/>
      <c r="P24" s="3691"/>
      <c r="Q24" s="3692"/>
    </row>
    <row r="25" spans="1:17" s="2022" customFormat="1" ht="14.25">
      <c r="A25" s="3690" t="s">
        <v>1879</v>
      </c>
      <c r="B25" s="3691"/>
      <c r="C25" s="3691"/>
      <c r="D25" s="3691"/>
      <c r="E25" s="3691"/>
      <c r="F25" s="3691"/>
      <c r="G25" s="3691"/>
      <c r="H25" s="3691"/>
      <c r="I25" s="3691"/>
      <c r="J25" s="3691"/>
      <c r="K25" s="3691"/>
      <c r="L25" s="3691"/>
      <c r="M25" s="3691"/>
      <c r="N25" s="3691"/>
      <c r="O25" s="3691"/>
      <c r="P25" s="3691"/>
      <c r="Q25" s="3692"/>
    </row>
    <row r="26" spans="1:17" s="2022" customFormat="1" ht="14.25">
      <c r="A26" s="3690" t="s">
        <v>1880</v>
      </c>
      <c r="B26" s="3691"/>
      <c r="C26" s="3691"/>
      <c r="D26" s="3691"/>
      <c r="E26" s="3691"/>
      <c r="F26" s="3691"/>
      <c r="G26" s="3691"/>
      <c r="H26" s="3691"/>
      <c r="I26" s="3691"/>
      <c r="J26" s="3691"/>
      <c r="K26" s="3691"/>
      <c r="L26" s="3691"/>
      <c r="M26" s="3691"/>
      <c r="N26" s="3691"/>
      <c r="O26" s="3691"/>
      <c r="P26" s="3691"/>
      <c r="Q26" s="3692"/>
    </row>
    <row r="27" spans="1:17" s="2022" customFormat="1" ht="14.25">
      <c r="A27" s="3690" t="s">
        <v>1881</v>
      </c>
      <c r="B27" s="3691"/>
      <c r="C27" s="3691"/>
      <c r="D27" s="3691"/>
      <c r="E27" s="3691"/>
      <c r="F27" s="3691"/>
      <c r="G27" s="3691"/>
      <c r="H27" s="3691"/>
      <c r="I27" s="3691"/>
      <c r="J27" s="3691"/>
      <c r="K27" s="3691"/>
      <c r="L27" s="3691"/>
      <c r="M27" s="3691"/>
      <c r="N27" s="3691"/>
      <c r="O27" s="3691"/>
      <c r="P27" s="3691"/>
      <c r="Q27" s="3692"/>
    </row>
    <row r="28" spans="1:17" s="2022" customFormat="1" ht="14.25">
      <c r="A28" s="3699" t="s">
        <v>1882</v>
      </c>
      <c r="B28" s="3700"/>
      <c r="C28" s="3700"/>
      <c r="D28" s="3700"/>
      <c r="E28" s="3700"/>
      <c r="F28" s="3700"/>
      <c r="G28" s="3700"/>
      <c r="H28" s="3700"/>
      <c r="I28" s="3700"/>
      <c r="J28" s="3700"/>
      <c r="K28" s="3700"/>
      <c r="L28" s="3700"/>
      <c r="M28" s="3700"/>
      <c r="N28" s="3700"/>
      <c r="O28" s="3700"/>
      <c r="P28" s="3700"/>
      <c r="Q28" s="3701"/>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6631</v>
      </c>
      <c r="C31" s="2029"/>
      <c r="D31" s="2029"/>
      <c r="E31" s="2029"/>
      <c r="F31" s="2029"/>
      <c r="G31" s="2029"/>
      <c r="I31" s="2031"/>
      <c r="J31" s="2031"/>
      <c r="K31" s="2031"/>
      <c r="L31" s="2026"/>
      <c r="M31" s="2026"/>
      <c r="O31" s="2032" t="s">
        <v>1731</v>
      </c>
      <c r="P31" s="3702"/>
      <c r="Q31" s="3703"/>
    </row>
    <row r="32" spans="1:17" ht="20.25" customHeight="1">
      <c r="B32" s="2034" t="s">
        <v>6772</v>
      </c>
      <c r="C32" s="2034"/>
      <c r="D32" s="2034"/>
      <c r="E32" s="2034"/>
      <c r="F32" s="2034"/>
      <c r="G32" s="2031"/>
      <c r="H32" s="2031"/>
      <c r="I32" s="2031"/>
      <c r="J32" s="2031"/>
      <c r="K32" s="2026"/>
      <c r="L32" s="2026"/>
      <c r="M32" s="2026"/>
      <c r="N32" s="2026"/>
      <c r="O32" s="2026"/>
      <c r="P32" s="2026"/>
    </row>
    <row r="33" spans="1:17" ht="77.25" customHeight="1">
      <c r="A33" s="3704" t="s">
        <v>7090</v>
      </c>
      <c r="B33" s="3704"/>
      <c r="C33" s="3704"/>
      <c r="D33" s="3704"/>
      <c r="E33" s="3704"/>
      <c r="F33" s="3704"/>
      <c r="G33" s="3704"/>
      <c r="H33" s="3704"/>
      <c r="I33" s="3704"/>
      <c r="J33" s="3704"/>
      <c r="K33" s="3704"/>
      <c r="L33" s="3704"/>
      <c r="M33" s="3704"/>
      <c r="N33" s="3704"/>
      <c r="O33" s="3704"/>
      <c r="P33" s="3704"/>
      <c r="Q33" s="3705"/>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6"/>
      <c r="B35" s="3706"/>
      <c r="C35" s="3706"/>
      <c r="D35" s="3706"/>
      <c r="E35" s="3706"/>
      <c r="F35" s="3706"/>
      <c r="G35" s="3706"/>
      <c r="H35" s="3706"/>
      <c r="I35" s="3706"/>
      <c r="J35" s="3706"/>
      <c r="K35" s="3706"/>
      <c r="L35" s="3706"/>
      <c r="M35" s="3706"/>
      <c r="N35" s="3706"/>
      <c r="O35" s="3706"/>
      <c r="P35" s="3706"/>
      <c r="Q35" s="3706"/>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7"/>
      <c r="Q38" s="3708"/>
    </row>
    <row r="39" spans="1:17" ht="20.25" customHeight="1">
      <c r="A39" s="2042"/>
      <c r="B39" s="3720" t="s">
        <v>6773</v>
      </c>
      <c r="C39" s="3720"/>
      <c r="D39" s="3720"/>
      <c r="E39" s="3720"/>
      <c r="F39" s="3720"/>
      <c r="G39" s="3720"/>
      <c r="H39" s="3720"/>
      <c r="I39" s="3720"/>
      <c r="J39" s="3720"/>
      <c r="K39" s="3720"/>
      <c r="L39" s="3720"/>
      <c r="M39" s="3720"/>
      <c r="N39" s="3720"/>
      <c r="O39" s="3720"/>
      <c r="P39" s="3721" t="s">
        <v>2649</v>
      </c>
      <c r="Q39" s="3722"/>
    </row>
    <row r="40" spans="1:17" ht="20.25" customHeight="1">
      <c r="B40" s="2045" t="s">
        <v>3239</v>
      </c>
      <c r="D40" s="2045"/>
      <c r="E40" s="2045"/>
      <c r="F40" s="2045"/>
      <c r="G40" s="2045"/>
      <c r="H40" s="2043"/>
      <c r="I40" s="2031"/>
      <c r="J40" s="2031"/>
    </row>
    <row r="41" spans="1:17" ht="28.5" customHeight="1">
      <c r="A41" s="3723" t="s">
        <v>7091</v>
      </c>
      <c r="B41" s="3724"/>
      <c r="C41" s="3724"/>
      <c r="D41" s="3724"/>
      <c r="E41" s="3724"/>
      <c r="F41" s="3724"/>
      <c r="G41" s="3724"/>
      <c r="H41" s="3724"/>
      <c r="I41" s="3724"/>
      <c r="J41" s="3724"/>
      <c r="K41" s="3724"/>
      <c r="L41" s="3724"/>
      <c r="M41" s="3724"/>
      <c r="N41" s="3724"/>
      <c r="O41" s="3724"/>
      <c r="P41" s="3724"/>
      <c r="Q41" s="3725"/>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6"/>
      <c r="B43" s="3706"/>
      <c r="C43" s="3706"/>
      <c r="D43" s="3706"/>
      <c r="E43" s="3706"/>
      <c r="F43" s="3706"/>
      <c r="G43" s="3706"/>
      <c r="H43" s="3706"/>
      <c r="I43" s="3706"/>
      <c r="J43" s="3706"/>
      <c r="K43" s="3706"/>
      <c r="L43" s="3706"/>
      <c r="M43" s="3706"/>
      <c r="N43" s="3706"/>
      <c r="O43" s="3706"/>
      <c r="P43" s="3706"/>
      <c r="Q43" s="3706"/>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7"/>
      <c r="Q46" s="3711"/>
    </row>
    <row r="47" spans="1:17" ht="20.25" customHeight="1">
      <c r="A47" s="2053"/>
      <c r="B47" s="2043" t="s">
        <v>6774</v>
      </c>
      <c r="C47" s="2042"/>
      <c r="D47" s="2036"/>
      <c r="E47" s="2036"/>
      <c r="F47" s="2036"/>
      <c r="G47" s="2036"/>
      <c r="H47" s="2036"/>
      <c r="I47" s="2036"/>
      <c r="J47" s="2036"/>
      <c r="L47" s="2051"/>
      <c r="M47" s="2052"/>
      <c r="O47" s="2032"/>
      <c r="P47" s="3721" t="s">
        <v>2649</v>
      </c>
      <c r="Q47" s="3722"/>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128.25" customHeight="1">
      <c r="A49" s="3704" t="s">
        <v>7112</v>
      </c>
      <c r="B49" s="3704"/>
      <c r="C49" s="3704"/>
      <c r="D49" s="3704"/>
      <c r="E49" s="3704"/>
      <c r="F49" s="3704"/>
      <c r="G49" s="3704"/>
      <c r="H49" s="3704"/>
      <c r="I49" s="3704"/>
      <c r="J49" s="3704"/>
      <c r="K49" s="3709"/>
      <c r="L49" s="3709"/>
      <c r="M49" s="3709"/>
      <c r="N49" s="3709"/>
      <c r="O49" s="3709"/>
      <c r="P49" s="3709"/>
      <c r="Q49" s="3710"/>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4017</v>
      </c>
      <c r="C52" s="2042"/>
      <c r="D52" s="2036"/>
      <c r="E52" s="2036"/>
      <c r="F52" s="2036"/>
      <c r="G52" s="2036"/>
      <c r="H52" s="2054"/>
      <c r="J52" s="2053"/>
      <c r="K52" s="2020"/>
      <c r="L52" s="2053"/>
      <c r="M52" s="2055"/>
      <c r="O52" s="2032" t="s">
        <v>1731</v>
      </c>
      <c r="P52" s="3707"/>
      <c r="Q52" s="3711"/>
    </row>
    <row r="53" spans="1:17" ht="19.5" customHeight="1">
      <c r="A53" s="2053"/>
      <c r="B53" s="3712" t="s">
        <v>2264</v>
      </c>
      <c r="C53" s="3712"/>
      <c r="D53" s="3712"/>
      <c r="E53" s="3712"/>
      <c r="F53" s="3712"/>
      <c r="G53" s="3712"/>
      <c r="H53" s="3713"/>
      <c r="I53" s="3714" t="s">
        <v>7052</v>
      </c>
      <c r="J53" s="3715"/>
      <c r="K53" s="3715"/>
      <c r="L53" s="3715"/>
      <c r="M53" s="3715"/>
      <c r="N53" s="3715"/>
      <c r="O53" s="3715"/>
      <c r="P53" s="3715"/>
      <c r="Q53" s="3716"/>
    </row>
    <row r="54" spans="1:17" ht="20.25" customHeight="1">
      <c r="A54" s="2053"/>
      <c r="B54" s="2030" t="s">
        <v>6775</v>
      </c>
      <c r="D54" s="2056"/>
      <c r="E54" s="2056"/>
      <c r="F54" s="2056"/>
      <c r="I54" s="3717">
        <v>94.4</v>
      </c>
      <c r="J54" s="3718"/>
      <c r="K54" s="3719"/>
      <c r="L54" s="2044"/>
      <c r="M54" s="2057"/>
      <c r="N54" s="2057"/>
      <c r="O54" s="2057"/>
      <c r="P54" s="2057"/>
      <c r="Q54" s="2026"/>
    </row>
    <row r="55" spans="1:17" ht="20.25" customHeight="1">
      <c r="A55" s="2053"/>
      <c r="B55" s="2030" t="s">
        <v>6776</v>
      </c>
      <c r="D55" s="2056"/>
      <c r="E55" s="2056"/>
      <c r="F55" s="2056"/>
      <c r="H55" s="2044" t="s">
        <v>6777</v>
      </c>
      <c r="I55" s="3717">
        <v>0.9</v>
      </c>
      <c r="J55" s="3718"/>
      <c r="K55" s="3719"/>
      <c r="L55" s="2058"/>
      <c r="M55" s="2059" t="s">
        <v>6778</v>
      </c>
      <c r="N55" s="3717">
        <v>0.5</v>
      </c>
      <c r="O55" s="3719"/>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31.5" customHeight="1">
      <c r="A57" s="3704" t="s">
        <v>7053</v>
      </c>
      <c r="B57" s="3704"/>
      <c r="C57" s="3704"/>
      <c r="D57" s="3704"/>
      <c r="E57" s="3704"/>
      <c r="F57" s="3704"/>
      <c r="G57" s="3704"/>
      <c r="H57" s="3704"/>
      <c r="I57" s="3704"/>
      <c r="J57" s="3704"/>
      <c r="K57" s="3704"/>
      <c r="L57" s="3704"/>
      <c r="M57" s="3704"/>
      <c r="N57" s="3704"/>
      <c r="O57" s="3704"/>
      <c r="P57" s="3704"/>
      <c r="Q57" s="3705"/>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9"/>
      <c r="B59" s="3709"/>
      <c r="C59" s="3709"/>
      <c r="D59" s="3709"/>
      <c r="E59" s="3709"/>
      <c r="F59" s="3709"/>
      <c r="G59" s="3709"/>
      <c r="H59" s="3709"/>
      <c r="I59" s="3709"/>
      <c r="J59" s="3709"/>
      <c r="K59" s="3709"/>
      <c r="L59" s="3709"/>
      <c r="M59" s="3709"/>
      <c r="N59" s="3709"/>
      <c r="O59" s="3709"/>
      <c r="P59" s="3709"/>
      <c r="Q59" s="3710"/>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6779</v>
      </c>
      <c r="I63" s="2062"/>
      <c r="J63" s="3717"/>
      <c r="K63" s="3717"/>
      <c r="L63" s="3717"/>
      <c r="M63" s="3717"/>
      <c r="N63" s="3717"/>
      <c r="O63" s="3717"/>
      <c r="P63" s="3717"/>
      <c r="Q63" s="3737"/>
    </row>
    <row r="64" spans="1:17" ht="20.25" customHeight="1">
      <c r="A64" s="2053"/>
      <c r="B64" s="2030" t="s">
        <v>3946</v>
      </c>
      <c r="O64" s="2044"/>
      <c r="P64" s="2065" t="s">
        <v>2652</v>
      </c>
      <c r="Q64" s="2066"/>
    </row>
    <row r="65" spans="1:17" ht="33" customHeight="1">
      <c r="B65" s="2042"/>
      <c r="C65" s="3712" t="s">
        <v>6780</v>
      </c>
      <c r="D65" s="3712"/>
      <c r="E65" s="3712"/>
      <c r="F65" s="3712"/>
      <c r="G65" s="3712"/>
      <c r="H65" s="3712"/>
      <c r="I65" s="3712"/>
      <c r="J65" s="3712"/>
      <c r="K65" s="3712"/>
      <c r="L65" s="3712"/>
      <c r="M65" s="3712"/>
      <c r="N65" s="3712"/>
      <c r="O65" s="3712"/>
      <c r="P65" s="2065"/>
      <c r="Q65" s="2066"/>
    </row>
    <row r="66" spans="1:17" ht="33" customHeight="1">
      <c r="A66" s="2053"/>
      <c r="B66" s="2042"/>
      <c r="C66" s="3712" t="s">
        <v>6781</v>
      </c>
      <c r="D66" s="3712"/>
      <c r="E66" s="3712"/>
      <c r="F66" s="3712"/>
      <c r="G66" s="3712"/>
      <c r="H66" s="3712"/>
      <c r="I66" s="3712"/>
      <c r="J66" s="3712"/>
      <c r="K66" s="3712"/>
      <c r="L66" s="3712"/>
      <c r="M66" s="3712"/>
      <c r="N66" s="3712"/>
      <c r="O66" s="3712"/>
      <c r="P66" s="2067"/>
      <c r="Q66" s="2068"/>
    </row>
    <row r="67" spans="1:17" ht="20.25" customHeight="1">
      <c r="B67" s="2060" t="s">
        <v>6772</v>
      </c>
      <c r="D67" s="2060"/>
      <c r="E67" s="2060"/>
      <c r="F67" s="2060"/>
      <c r="G67" s="2060"/>
      <c r="H67" s="2043"/>
      <c r="I67" s="2031"/>
      <c r="J67" s="2031"/>
      <c r="K67" s="2031"/>
      <c r="L67" s="2026"/>
      <c r="M67" s="2026"/>
      <c r="N67" s="2026"/>
      <c r="O67" s="2026"/>
      <c r="P67" s="2026"/>
      <c r="Q67" s="2026"/>
    </row>
    <row r="68" spans="1:17" ht="20.25" customHeight="1">
      <c r="A68" s="3723" t="s">
        <v>7054</v>
      </c>
      <c r="B68" s="3726"/>
      <c r="C68" s="3726"/>
      <c r="D68" s="3726"/>
      <c r="E68" s="3726"/>
      <c r="F68" s="3726"/>
      <c r="G68" s="3726"/>
      <c r="H68" s="3726"/>
      <c r="I68" s="3726"/>
      <c r="J68" s="3726"/>
      <c r="K68" s="3726"/>
      <c r="L68" s="3726"/>
      <c r="M68" s="3726"/>
      <c r="N68" s="3726"/>
      <c r="O68" s="3726"/>
      <c r="P68" s="3726"/>
      <c r="Q68" s="3727"/>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8"/>
      <c r="B70" s="3729"/>
      <c r="C70" s="3729"/>
      <c r="D70" s="3729"/>
      <c r="E70" s="3729"/>
      <c r="F70" s="3729"/>
      <c r="G70" s="3729"/>
      <c r="H70" s="3729"/>
      <c r="I70" s="3729"/>
      <c r="J70" s="3729"/>
      <c r="K70" s="3729"/>
      <c r="L70" s="3729"/>
      <c r="M70" s="3729"/>
      <c r="N70" s="3729"/>
      <c r="O70" s="3729"/>
      <c r="P70" s="3729"/>
      <c r="Q70" s="3730"/>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7"/>
      <c r="Q73" s="3711"/>
    </row>
    <row r="74" spans="1:17" ht="18.75" customHeight="1">
      <c r="A74" s="2053"/>
      <c r="B74" s="3712" t="s">
        <v>6782</v>
      </c>
      <c r="C74" s="3712"/>
      <c r="D74" s="3712"/>
      <c r="E74" s="3712"/>
      <c r="F74" s="3712"/>
      <c r="G74" s="3712"/>
      <c r="H74" s="3712"/>
      <c r="I74" s="3712"/>
      <c r="J74" s="3712"/>
      <c r="K74" s="3713"/>
      <c r="L74" s="3731" t="s">
        <v>7055</v>
      </c>
      <c r="M74" s="3732"/>
      <c r="N74" s="3732"/>
      <c r="O74" s="3732"/>
      <c r="P74" s="3733"/>
      <c r="Q74" s="3734"/>
    </row>
    <row r="75" spans="1:17" ht="20.25" customHeight="1">
      <c r="B75" s="2030" t="s">
        <v>6783</v>
      </c>
      <c r="C75" s="2033"/>
      <c r="O75" s="2044"/>
      <c r="P75" s="2070" t="s">
        <v>2652</v>
      </c>
      <c r="Q75" s="2061"/>
    </row>
    <row r="76" spans="1:17" ht="20.25" customHeight="1">
      <c r="A76" s="2053"/>
      <c r="B76" s="2030" t="s">
        <v>6629</v>
      </c>
      <c r="D76" s="2056"/>
      <c r="E76" s="2056"/>
      <c r="F76" s="2056"/>
      <c r="G76" s="2056"/>
      <c r="H76" s="2056"/>
      <c r="K76" s="2056"/>
      <c r="L76" s="2036"/>
      <c r="O76" s="2044"/>
      <c r="P76" s="2067" t="s">
        <v>2649</v>
      </c>
      <c r="Q76" s="2068"/>
    </row>
    <row r="77" spans="1:17" ht="20.25" customHeight="1">
      <c r="A77" s="2053"/>
      <c r="B77" s="2030" t="s">
        <v>6784</v>
      </c>
      <c r="D77" s="2056"/>
      <c r="E77" s="2056"/>
      <c r="F77" s="2056"/>
      <c r="G77" s="2056"/>
      <c r="H77" s="2056"/>
      <c r="K77" s="2056"/>
      <c r="L77" s="2036"/>
      <c r="M77" s="2036"/>
      <c r="N77" s="2036"/>
      <c r="O77" s="2044"/>
    </row>
    <row r="78" spans="1:17" ht="20.25" customHeight="1">
      <c r="A78" s="2053"/>
      <c r="B78" s="2042"/>
      <c r="C78" s="2030" t="s">
        <v>6785</v>
      </c>
      <c r="E78" s="2056"/>
      <c r="F78" s="2056"/>
      <c r="G78" s="2056"/>
      <c r="H78" s="2056"/>
      <c r="K78" s="2056"/>
      <c r="L78" s="2036"/>
      <c r="M78" s="2036"/>
      <c r="O78" s="2044"/>
      <c r="P78" s="2070" t="s">
        <v>2652</v>
      </c>
      <c r="Q78" s="2061"/>
    </row>
    <row r="79" spans="1:17" ht="20.25" customHeight="1">
      <c r="A79" s="2053"/>
      <c r="B79" s="2042"/>
      <c r="C79" s="2030" t="s">
        <v>6786</v>
      </c>
      <c r="E79" s="2056"/>
      <c r="F79" s="2056"/>
      <c r="G79" s="2056"/>
      <c r="K79" s="2056"/>
      <c r="L79" s="2036"/>
      <c r="M79" s="2036"/>
      <c r="O79" s="2044"/>
      <c r="P79" s="2063" t="s">
        <v>2652</v>
      </c>
      <c r="Q79" s="2064"/>
    </row>
    <row r="80" spans="1:17" s="2081" customFormat="1" ht="20.25" customHeight="1">
      <c r="A80" s="2071"/>
      <c r="B80" s="2072"/>
      <c r="C80" s="2072"/>
      <c r="D80" s="2023" t="s">
        <v>6787</v>
      </c>
      <c r="E80" s="2073"/>
      <c r="F80" s="2073"/>
      <c r="G80" s="2023"/>
      <c r="H80" s="2023"/>
      <c r="I80" s="2074"/>
      <c r="J80" s="2075"/>
      <c r="K80" s="2076"/>
      <c r="L80" s="2077"/>
      <c r="M80" s="2077"/>
      <c r="N80" s="2075"/>
      <c r="O80" s="2078"/>
      <c r="P80" s="2079"/>
      <c r="Q80" s="2080"/>
    </row>
    <row r="81" spans="1:23" ht="20.25" customHeight="1">
      <c r="A81" s="2053"/>
      <c r="B81" s="2042"/>
      <c r="C81" s="2030" t="s">
        <v>6788</v>
      </c>
      <c r="E81" s="2056"/>
      <c r="F81" s="2056"/>
      <c r="G81" s="2056"/>
      <c r="K81" s="2056"/>
      <c r="L81" s="2036"/>
      <c r="M81" s="2036"/>
      <c r="O81" s="2044"/>
      <c r="P81" s="2067" t="s">
        <v>2652</v>
      </c>
      <c r="Q81" s="2068"/>
    </row>
    <row r="82" spans="1:23" ht="32.25" customHeight="1">
      <c r="A82" s="2053"/>
      <c r="B82" s="3739" t="s">
        <v>6789</v>
      </c>
      <c r="C82" s="3739"/>
      <c r="D82" s="3739"/>
      <c r="E82" s="3739"/>
      <c r="F82" s="3739"/>
      <c r="G82" s="3739"/>
      <c r="H82" s="3739"/>
      <c r="I82" s="3739"/>
      <c r="J82" s="3739"/>
      <c r="K82" s="3739"/>
      <c r="L82" s="3739"/>
      <c r="M82" s="3739"/>
      <c r="N82" s="3739"/>
      <c r="O82" s="3739"/>
      <c r="P82" s="3739"/>
      <c r="Q82" s="3739"/>
    </row>
    <row r="83" spans="1:23" ht="33" customHeight="1">
      <c r="B83" s="3717" t="s">
        <v>7057</v>
      </c>
      <c r="C83" s="3717"/>
      <c r="D83" s="3717"/>
      <c r="E83" s="3717"/>
      <c r="F83" s="3717"/>
      <c r="G83" s="3717"/>
      <c r="H83" s="3717"/>
      <c r="I83" s="3717"/>
      <c r="J83" s="3717"/>
      <c r="K83" s="3717"/>
      <c r="L83" s="3717"/>
      <c r="M83" s="3717"/>
      <c r="N83" s="3717"/>
      <c r="O83" s="3717"/>
      <c r="P83" s="3717"/>
      <c r="Q83" s="3737"/>
    </row>
    <row r="84" spans="1:23" ht="20.25" customHeight="1">
      <c r="B84" s="2060" t="s">
        <v>3239</v>
      </c>
      <c r="D84" s="2060"/>
      <c r="E84" s="2060"/>
      <c r="F84" s="2060"/>
      <c r="G84" s="2060"/>
      <c r="H84" s="2043"/>
      <c r="I84" s="2031"/>
      <c r="J84" s="2031"/>
      <c r="K84" s="2031"/>
      <c r="L84" s="2026"/>
      <c r="M84" s="2026"/>
      <c r="N84" s="2026"/>
      <c r="O84" s="2026"/>
      <c r="P84" s="2026"/>
      <c r="Q84" s="2026"/>
    </row>
    <row r="85" spans="1:23" ht="60" customHeight="1">
      <c r="A85" s="3704" t="s">
        <v>7056</v>
      </c>
      <c r="B85" s="3704"/>
      <c r="C85" s="3704"/>
      <c r="D85" s="3704"/>
      <c r="E85" s="3704"/>
      <c r="F85" s="3704"/>
      <c r="G85" s="3704"/>
      <c r="H85" s="3704"/>
      <c r="I85" s="3704"/>
      <c r="J85" s="3704"/>
      <c r="K85" s="3704"/>
      <c r="L85" s="3704"/>
      <c r="M85" s="3704"/>
      <c r="N85" s="3704"/>
      <c r="O85" s="3704"/>
      <c r="P85" s="3704"/>
      <c r="Q85" s="3705"/>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9"/>
      <c r="B87" s="3709"/>
      <c r="C87" s="3709"/>
      <c r="D87" s="3709"/>
      <c r="E87" s="3709"/>
      <c r="F87" s="3709"/>
      <c r="G87" s="3709"/>
      <c r="H87" s="3709"/>
      <c r="I87" s="3709"/>
      <c r="J87" s="3709"/>
      <c r="K87" s="3709"/>
      <c r="L87" s="3709"/>
      <c r="M87" s="3709"/>
      <c r="N87" s="3709"/>
      <c r="O87" s="3709"/>
      <c r="P87" s="3709"/>
      <c r="Q87" s="3710"/>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7"/>
      <c r="Q90" s="3711"/>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40" t="s">
        <v>6839</v>
      </c>
      <c r="M91" s="3741"/>
      <c r="N91" s="3742"/>
      <c r="O91" s="3707" t="s">
        <v>1646</v>
      </c>
      <c r="P91" s="3743"/>
      <c r="Q91" s="3744"/>
    </row>
    <row r="92" spans="1:23" ht="20.25" customHeight="1">
      <c r="A92" s="2053"/>
      <c r="B92" s="2030" t="s">
        <v>636</v>
      </c>
      <c r="G92" s="3717" t="s">
        <v>7058</v>
      </c>
      <c r="H92" s="3717"/>
      <c r="I92" s="3717"/>
      <c r="J92" s="3717"/>
      <c r="K92" s="3717"/>
      <c r="L92" s="3717"/>
      <c r="M92" s="3717"/>
      <c r="N92" s="3717"/>
      <c r="O92" s="3717"/>
      <c r="P92" s="3717"/>
      <c r="Q92" s="3737"/>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55.5" customHeight="1">
      <c r="A94" s="3704" t="s">
        <v>7113</v>
      </c>
      <c r="B94" s="3704"/>
      <c r="C94" s="3704"/>
      <c r="D94" s="3704"/>
      <c r="E94" s="3704"/>
      <c r="F94" s="3704"/>
      <c r="G94" s="3704"/>
      <c r="H94" s="3704"/>
      <c r="I94" s="3704"/>
      <c r="J94" s="3704"/>
      <c r="K94" s="3704"/>
      <c r="L94" s="3704"/>
      <c r="M94" s="3704"/>
      <c r="N94" s="3704"/>
      <c r="O94" s="3704"/>
      <c r="P94" s="3704"/>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9"/>
      <c r="B96" s="3709"/>
      <c r="C96" s="3709"/>
      <c r="D96" s="3709"/>
      <c r="E96" s="3709"/>
      <c r="F96" s="3709"/>
      <c r="G96" s="3709"/>
      <c r="H96" s="3709"/>
      <c r="I96" s="3709"/>
      <c r="J96" s="3709"/>
      <c r="K96" s="3709"/>
      <c r="L96" s="3709"/>
      <c r="M96" s="3709"/>
      <c r="N96" s="3709"/>
      <c r="O96" s="3709"/>
      <c r="P96" s="3709"/>
      <c r="Q96" s="3706"/>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7"/>
      <c r="Q99" s="3711"/>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7" customHeight="1">
      <c r="A101" s="3704" t="s">
        <v>7114</v>
      </c>
      <c r="B101" s="3704"/>
      <c r="C101" s="3704"/>
      <c r="D101" s="3704"/>
      <c r="E101" s="3704"/>
      <c r="F101" s="3704"/>
      <c r="G101" s="3704"/>
      <c r="H101" s="3704"/>
      <c r="I101" s="3704"/>
      <c r="J101" s="3704"/>
      <c r="K101" s="3704"/>
      <c r="L101" s="3704"/>
      <c r="M101" s="3704"/>
      <c r="N101" s="3704"/>
      <c r="O101" s="3704"/>
      <c r="P101" s="3704"/>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9"/>
      <c r="B103" s="3709"/>
      <c r="C103" s="3709"/>
      <c r="D103" s="3709"/>
      <c r="E103" s="3709"/>
      <c r="F103" s="3709"/>
      <c r="G103" s="3709"/>
      <c r="H103" s="3709"/>
      <c r="I103" s="3709"/>
      <c r="J103" s="3709"/>
      <c r="K103" s="3709"/>
      <c r="L103" s="3709"/>
      <c r="M103" s="3709"/>
      <c r="N103" s="3709"/>
      <c r="O103" s="3709"/>
      <c r="P103" s="3709"/>
      <c r="Q103" s="3706"/>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7"/>
      <c r="Q106" s="3711"/>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45.75" customHeight="1">
      <c r="A108" s="3704" t="s">
        <v>7115</v>
      </c>
      <c r="B108" s="3704"/>
      <c r="C108" s="3704"/>
      <c r="D108" s="3704"/>
      <c r="E108" s="3704"/>
      <c r="F108" s="3704"/>
      <c r="G108" s="3704"/>
      <c r="H108" s="3704"/>
      <c r="I108" s="3704"/>
      <c r="J108" s="3704"/>
      <c r="K108" s="3704"/>
      <c r="L108" s="3704"/>
      <c r="M108" s="3704"/>
      <c r="N108" s="3704"/>
      <c r="O108" s="3704"/>
      <c r="P108" s="3704"/>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9"/>
      <c r="B110" s="3709"/>
      <c r="C110" s="3709"/>
      <c r="D110" s="3709"/>
      <c r="E110" s="3709"/>
      <c r="F110" s="3709"/>
      <c r="G110" s="3709"/>
      <c r="H110" s="3709"/>
      <c r="I110" s="3709"/>
      <c r="J110" s="3709"/>
      <c r="K110" s="3709"/>
      <c r="L110" s="3709"/>
      <c r="M110" s="3709"/>
      <c r="N110" s="3709"/>
      <c r="O110" s="3709"/>
      <c r="P110" s="3709"/>
      <c r="Q110" s="3706"/>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6790</v>
      </c>
      <c r="H114" s="2030" t="s">
        <v>6791</v>
      </c>
      <c r="J114" s="3749" t="s">
        <v>7059</v>
      </c>
      <c r="K114" s="3750"/>
      <c r="L114" s="3750"/>
      <c r="M114" s="3750"/>
      <c r="N114" s="3750"/>
      <c r="O114" s="3750"/>
      <c r="P114" s="3750"/>
      <c r="Q114" s="3751"/>
    </row>
    <row r="115" spans="1:21" ht="20.25" customHeight="1">
      <c r="A115" s="2053"/>
      <c r="B115" s="2053"/>
      <c r="H115" s="2030" t="s">
        <v>6792</v>
      </c>
      <c r="J115" s="3746" t="s">
        <v>7060</v>
      </c>
      <c r="K115" s="3747"/>
      <c r="L115" s="3747"/>
      <c r="M115" s="3747"/>
      <c r="N115" s="3747"/>
      <c r="O115" s="3747"/>
      <c r="P115" s="3747"/>
      <c r="Q115" s="3748"/>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4" t="s">
        <v>7116</v>
      </c>
      <c r="B117" s="3704"/>
      <c r="C117" s="3704"/>
      <c r="D117" s="3704"/>
      <c r="E117" s="3704"/>
      <c r="F117" s="3704"/>
      <c r="G117" s="3704"/>
      <c r="H117" s="3704"/>
      <c r="I117" s="3704"/>
      <c r="J117" s="3704"/>
      <c r="K117" s="3704"/>
      <c r="L117" s="3704"/>
      <c r="M117" s="3704"/>
      <c r="N117" s="3704"/>
      <c r="O117" s="3704"/>
      <c r="P117" s="3704"/>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9"/>
      <c r="B119" s="3709"/>
      <c r="C119" s="3709"/>
      <c r="D119" s="3709"/>
      <c r="E119" s="3709"/>
      <c r="F119" s="3709"/>
      <c r="G119" s="3709"/>
      <c r="H119" s="3709"/>
      <c r="I119" s="3709"/>
      <c r="J119" s="3709"/>
      <c r="K119" s="3709"/>
      <c r="L119" s="3709"/>
      <c r="M119" s="3709"/>
      <c r="N119" s="3709"/>
      <c r="O119" s="3709"/>
      <c r="P119" s="3709"/>
      <c r="Q119" s="3710"/>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6793</v>
      </c>
      <c r="C122" s="2029"/>
      <c r="D122" s="2029"/>
      <c r="E122" s="2029"/>
      <c r="F122" s="2029"/>
      <c r="G122" s="2036"/>
      <c r="H122" s="2036"/>
      <c r="J122" s="2036"/>
      <c r="K122" s="2036"/>
      <c r="L122" s="2036"/>
      <c r="M122" s="2036"/>
      <c r="N122" s="2069"/>
      <c r="O122" s="2032" t="s">
        <v>1731</v>
      </c>
      <c r="P122" s="3707"/>
      <c r="Q122" s="3711"/>
    </row>
    <row r="123" spans="1:21" ht="20.25" customHeight="1">
      <c r="A123" s="2053"/>
      <c r="B123" s="2030" t="s">
        <v>6794</v>
      </c>
      <c r="H123" s="2030" t="s">
        <v>6795</v>
      </c>
      <c r="J123" s="3749" t="s">
        <v>7061</v>
      </c>
      <c r="K123" s="3750"/>
      <c r="L123" s="3750"/>
      <c r="M123" s="3750"/>
      <c r="N123" s="3750"/>
      <c r="O123" s="3750"/>
      <c r="P123" s="3750"/>
      <c r="Q123" s="3751"/>
      <c r="R123" s="2084"/>
    </row>
    <row r="124" spans="1:21" ht="20.25" customHeight="1">
      <c r="A124" s="2083"/>
      <c r="B124" s="2053"/>
      <c r="H124" s="2030" t="s">
        <v>6796</v>
      </c>
      <c r="J124" s="3746" t="s">
        <v>7061</v>
      </c>
      <c r="K124" s="3747"/>
      <c r="L124" s="3747"/>
      <c r="M124" s="3747"/>
      <c r="N124" s="3747"/>
      <c r="O124" s="3747"/>
      <c r="P124" s="3747"/>
      <c r="Q124" s="3748"/>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32.25" customHeight="1">
      <c r="A126" s="3704" t="s">
        <v>7117</v>
      </c>
      <c r="B126" s="3704"/>
      <c r="C126" s="3704"/>
      <c r="D126" s="3704"/>
      <c r="E126" s="3704"/>
      <c r="F126" s="3704"/>
      <c r="G126" s="3704"/>
      <c r="H126" s="3704"/>
      <c r="I126" s="3704"/>
      <c r="J126" s="3704"/>
      <c r="K126" s="3704"/>
      <c r="L126" s="3704"/>
      <c r="M126" s="3704"/>
      <c r="N126" s="3704"/>
      <c r="O126" s="3704"/>
      <c r="P126" s="3704"/>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9"/>
      <c r="B128" s="3709"/>
      <c r="C128" s="3709"/>
      <c r="D128" s="3709"/>
      <c r="E128" s="3709"/>
      <c r="F128" s="3709"/>
      <c r="G128" s="3709"/>
      <c r="H128" s="3709"/>
      <c r="I128" s="3709"/>
      <c r="J128" s="3709"/>
      <c r="K128" s="3709"/>
      <c r="L128" s="3709"/>
      <c r="M128" s="3709"/>
      <c r="N128" s="3709"/>
      <c r="O128" s="3709"/>
      <c r="P128" s="3709"/>
      <c r="Q128" s="3710"/>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7"/>
      <c r="Q131" s="3711"/>
    </row>
    <row r="132" spans="1:17" ht="31.5" customHeight="1">
      <c r="A132" s="2033"/>
      <c r="B132" s="3712" t="s">
        <v>6797</v>
      </c>
      <c r="C132" s="3712"/>
      <c r="D132" s="3712"/>
      <c r="E132" s="3712"/>
      <c r="F132" s="3712"/>
      <c r="G132" s="3712"/>
      <c r="H132" s="3712"/>
      <c r="I132" s="3712"/>
      <c r="J132" s="3712"/>
      <c r="K132" s="3712"/>
      <c r="L132" s="3712"/>
      <c r="M132" s="3712"/>
      <c r="N132" s="3712"/>
      <c r="O132" s="3713"/>
      <c r="P132" s="3721" t="s">
        <v>2649</v>
      </c>
      <c r="Q132" s="3722"/>
    </row>
    <row r="133" spans="1:17" ht="20.25" customHeight="1">
      <c r="A133" s="2053" t="s">
        <v>1841</v>
      </c>
      <c r="B133" s="2030" t="s">
        <v>6798</v>
      </c>
      <c r="O133" s="2044"/>
      <c r="P133" s="2033"/>
      <c r="Q133" s="2033"/>
    </row>
    <row r="134" spans="1:17" ht="20.25" customHeight="1">
      <c r="A134" s="2053"/>
      <c r="B134" s="2043"/>
      <c r="C134" s="2030" t="s">
        <v>1792</v>
      </c>
      <c r="J134" s="2044"/>
      <c r="K134" s="2033"/>
      <c r="L134" s="2033"/>
      <c r="M134" s="3752" t="s">
        <v>7062</v>
      </c>
      <c r="N134" s="3753"/>
      <c r="O134" s="3753"/>
      <c r="P134" s="3753"/>
      <c r="Q134" s="3754"/>
    </row>
    <row r="135" spans="1:17" ht="20.25" customHeight="1">
      <c r="A135" s="2053"/>
      <c r="B135" s="2043"/>
      <c r="C135" s="2043" t="s">
        <v>6716</v>
      </c>
      <c r="E135" s="2043"/>
      <c r="F135" s="2043"/>
      <c r="G135" s="2043"/>
      <c r="H135" s="2043"/>
      <c r="J135" s="2044"/>
      <c r="K135" s="2033"/>
      <c r="L135" s="2033"/>
      <c r="M135" s="3755" t="s">
        <v>7063</v>
      </c>
      <c r="N135" s="3756"/>
      <c r="O135" s="3756"/>
      <c r="P135" s="3756"/>
      <c r="Q135" s="3757"/>
    </row>
    <row r="136" spans="1:17" ht="20.25" customHeight="1">
      <c r="A136" s="2053"/>
      <c r="B136" s="2043"/>
      <c r="C136" s="3758" t="s">
        <v>6191</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3784</v>
      </c>
      <c r="E137" s="2043"/>
      <c r="F137" s="2043"/>
      <c r="G137" s="2043"/>
      <c r="H137" s="2043"/>
      <c r="J137" s="2044"/>
      <c r="K137" s="2033"/>
      <c r="L137" s="2033"/>
      <c r="M137" s="3746" t="s">
        <v>7064</v>
      </c>
      <c r="N137" s="3747"/>
      <c r="O137" s="3747"/>
      <c r="P137" s="3747"/>
      <c r="Q137" s="3748"/>
    </row>
    <row r="138" spans="1:17" ht="20.25" customHeight="1">
      <c r="A138" s="2053" t="s">
        <v>1843</v>
      </c>
      <c r="B138" s="3712" t="s">
        <v>6799</v>
      </c>
      <c r="C138" s="3712"/>
      <c r="D138" s="3712"/>
      <c r="E138" s="3712"/>
      <c r="F138" s="3712"/>
      <c r="G138" s="3712"/>
      <c r="H138" s="3712"/>
      <c r="I138" s="3712"/>
      <c r="J138" s="3712"/>
      <c r="K138" s="3712"/>
      <c r="L138" s="3712"/>
      <c r="M138" s="3712"/>
      <c r="N138" s="3712"/>
      <c r="O138" s="2044"/>
      <c r="P138" s="2085"/>
      <c r="Q138" s="2026"/>
    </row>
    <row r="139" spans="1:17" ht="48" customHeight="1">
      <c r="A139" s="2071"/>
      <c r="B139" s="2036"/>
      <c r="C139" s="3712" t="s">
        <v>6800</v>
      </c>
      <c r="D139" s="3712"/>
      <c r="E139" s="3712"/>
      <c r="F139" s="3712"/>
      <c r="G139" s="3712"/>
      <c r="H139" s="3712"/>
      <c r="I139" s="3712"/>
      <c r="J139" s="3712"/>
      <c r="K139" s="3712"/>
      <c r="L139" s="3712"/>
      <c r="M139" s="3712"/>
      <c r="N139" s="3712"/>
      <c r="O139" s="3712"/>
      <c r="P139" s="2085"/>
      <c r="Q139" s="2026"/>
    </row>
    <row r="140" spans="1:17" ht="15.75" customHeight="1">
      <c r="A140" s="2026"/>
      <c r="B140" s="2078" t="s">
        <v>1614</v>
      </c>
      <c r="C140" s="3767" t="s">
        <v>3849</v>
      </c>
      <c r="D140" s="3768"/>
      <c r="E140" s="3768"/>
      <c r="F140" s="3768"/>
      <c r="G140" s="3768"/>
      <c r="H140" s="3769"/>
      <c r="I140" s="2033"/>
      <c r="J140" s="3779" t="s">
        <v>6801</v>
      </c>
      <c r="K140" s="3780"/>
      <c r="L140" s="3780"/>
      <c r="M140" s="3780"/>
      <c r="N140" s="3780"/>
      <c r="O140" s="3780"/>
      <c r="P140" s="3780"/>
      <c r="Q140" s="3781"/>
    </row>
    <row r="141" spans="1:17" ht="15.75" customHeight="1">
      <c r="A141" s="2026"/>
      <c r="B141" s="2078" t="s">
        <v>1615</v>
      </c>
      <c r="C141" s="3770" t="s">
        <v>3897</v>
      </c>
      <c r="D141" s="3771"/>
      <c r="E141" s="3771"/>
      <c r="F141" s="3771"/>
      <c r="G141" s="3771"/>
      <c r="H141" s="3772"/>
      <c r="I141" s="2033"/>
      <c r="J141" s="3776" t="s">
        <v>6801</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6801</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6801</v>
      </c>
      <c r="K143" s="3774"/>
      <c r="L143" s="3774"/>
      <c r="M143" s="3774"/>
      <c r="N143" s="3774"/>
      <c r="O143" s="3774"/>
      <c r="P143" s="3774"/>
      <c r="Q143" s="377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33.75" customHeight="1">
      <c r="A145" s="3704" t="s">
        <v>7118</v>
      </c>
      <c r="B145" s="3704"/>
      <c r="C145" s="3704"/>
      <c r="D145" s="3704"/>
      <c r="E145" s="3704"/>
      <c r="F145" s="3704"/>
      <c r="G145" s="3704"/>
      <c r="H145" s="3704"/>
      <c r="I145" s="3704"/>
      <c r="J145" s="3704"/>
      <c r="K145" s="3704"/>
      <c r="L145" s="3704"/>
      <c r="M145" s="3704"/>
      <c r="N145" s="3704"/>
      <c r="O145" s="3704"/>
      <c r="P145" s="3704"/>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9"/>
      <c r="B147" s="3709"/>
      <c r="C147" s="3709"/>
      <c r="D147" s="3709"/>
      <c r="E147" s="3709"/>
      <c r="F147" s="3709"/>
      <c r="G147" s="3709"/>
      <c r="H147" s="3709"/>
      <c r="I147" s="3709"/>
      <c r="J147" s="3709"/>
      <c r="K147" s="3709"/>
      <c r="L147" s="3709"/>
      <c r="M147" s="3709"/>
      <c r="N147" s="3709"/>
      <c r="O147" s="3709"/>
      <c r="P147" s="3709"/>
      <c r="Q147" s="3706"/>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3949</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6802</v>
      </c>
      <c r="C151" s="2033"/>
      <c r="D151" s="2033"/>
      <c r="E151" s="2033"/>
      <c r="F151" s="2033"/>
      <c r="G151" s="2033"/>
      <c r="H151" s="2033"/>
      <c r="I151" s="2033"/>
      <c r="J151" s="2033"/>
      <c r="K151" s="2033"/>
      <c r="L151" s="2033"/>
      <c r="M151" s="2033"/>
      <c r="N151" s="2031"/>
      <c r="O151" s="2033"/>
      <c r="P151" s="3765" t="s">
        <v>2649</v>
      </c>
      <c r="Q151" s="3766"/>
    </row>
    <row r="152" spans="1:18" ht="20.25" customHeight="1">
      <c r="A152" s="2053"/>
      <c r="B152" s="2030" t="s">
        <v>1192</v>
      </c>
      <c r="G152" s="2033"/>
      <c r="H152" s="3789" t="s">
        <v>3397</v>
      </c>
      <c r="I152" s="3790"/>
      <c r="J152" s="3790"/>
      <c r="K152" s="3790"/>
      <c r="L152" s="3790"/>
      <c r="M152" s="3790"/>
      <c r="N152" s="3790"/>
      <c r="O152" s="3790"/>
      <c r="P152" s="3791"/>
      <c r="Q152" s="3792"/>
      <c r="R152" s="2062"/>
    </row>
    <row r="153" spans="1:18" ht="20.25" customHeight="1">
      <c r="A153" s="2053"/>
      <c r="B153" s="2030" t="s">
        <v>1806</v>
      </c>
      <c r="G153" s="2033"/>
      <c r="H153" s="3793" t="s">
        <v>7065</v>
      </c>
      <c r="I153" s="3794"/>
      <c r="J153" s="3794"/>
      <c r="K153" s="3794"/>
      <c r="L153" s="3794"/>
      <c r="M153" s="3794"/>
      <c r="N153" s="3794"/>
      <c r="O153" s="3794"/>
      <c r="P153" s="3794"/>
      <c r="Q153" s="3795"/>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49.5" customHeight="1">
      <c r="A155" s="3704" t="s">
        <v>7066</v>
      </c>
      <c r="B155" s="3704"/>
      <c r="C155" s="3704"/>
      <c r="D155" s="3704"/>
      <c r="E155" s="3704"/>
      <c r="F155" s="3704"/>
      <c r="G155" s="3704"/>
      <c r="H155" s="3704"/>
      <c r="I155" s="3704"/>
      <c r="J155" s="3704"/>
      <c r="K155" s="3704"/>
      <c r="L155" s="3704"/>
      <c r="M155" s="3704"/>
      <c r="N155" s="3704"/>
      <c r="O155" s="3704"/>
      <c r="P155" s="3704"/>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9"/>
      <c r="B157" s="3709"/>
      <c r="C157" s="3709"/>
      <c r="D157" s="3709"/>
      <c r="E157" s="3709"/>
      <c r="F157" s="3709"/>
      <c r="G157" s="3709"/>
      <c r="H157" s="3709"/>
      <c r="I157" s="3709"/>
      <c r="J157" s="3709"/>
      <c r="K157" s="3709"/>
      <c r="L157" s="3709"/>
      <c r="M157" s="3709"/>
      <c r="N157" s="3709"/>
      <c r="O157" s="3709"/>
      <c r="P157" s="3709"/>
      <c r="Q157" s="3706"/>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7"/>
      <c r="Q160" s="3711"/>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42" customHeight="1">
      <c r="A162" s="3704" t="s">
        <v>7119</v>
      </c>
      <c r="B162" s="3704"/>
      <c r="C162" s="3704"/>
      <c r="D162" s="3704"/>
      <c r="E162" s="3704"/>
      <c r="F162" s="3704"/>
      <c r="G162" s="3704"/>
      <c r="H162" s="3704"/>
      <c r="I162" s="3704"/>
      <c r="J162" s="3704"/>
      <c r="K162" s="3704"/>
      <c r="L162" s="3704"/>
      <c r="M162" s="3704"/>
      <c r="N162" s="3704"/>
      <c r="O162" s="3704"/>
      <c r="P162" s="3704"/>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9"/>
      <c r="B164" s="3709"/>
      <c r="C164" s="3709"/>
      <c r="D164" s="3709"/>
      <c r="E164" s="3709"/>
      <c r="F164" s="3709"/>
      <c r="G164" s="3709"/>
      <c r="H164" s="3709"/>
      <c r="I164" s="3709"/>
      <c r="J164" s="3709"/>
      <c r="K164" s="3709"/>
      <c r="L164" s="3709"/>
      <c r="M164" s="3709"/>
      <c r="N164" s="3709"/>
      <c r="O164" s="3709"/>
      <c r="P164" s="3709"/>
      <c r="Q164" s="3706"/>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3368</v>
      </c>
      <c r="B167" s="2042" t="s">
        <v>2432</v>
      </c>
      <c r="C167" s="2042"/>
      <c r="D167" s="2036"/>
      <c r="E167" s="2036"/>
      <c r="F167" s="2036"/>
      <c r="G167" s="2036"/>
      <c r="H167" s="2036"/>
      <c r="I167" s="2036"/>
      <c r="J167" s="2036"/>
      <c r="K167" s="2036"/>
      <c r="L167" s="2036"/>
      <c r="M167" s="2036"/>
      <c r="O167" s="2032" t="s">
        <v>1731</v>
      </c>
      <c r="P167" s="3707"/>
      <c r="Q167" s="3711"/>
    </row>
    <row r="168" spans="1:17" ht="20.25" customHeight="1">
      <c r="A168" s="2053" t="s">
        <v>1841</v>
      </c>
      <c r="B168" s="2029" t="s">
        <v>6196</v>
      </c>
      <c r="G168" s="2033"/>
      <c r="J168" s="2033"/>
      <c r="K168" s="2033"/>
      <c r="L168" s="2033"/>
      <c r="M168" s="2033"/>
      <c r="N168" s="2033"/>
      <c r="O168" s="2044"/>
      <c r="P168" s="2033"/>
      <c r="Q168" s="2033"/>
    </row>
    <row r="169" spans="1:17" ht="33" customHeight="1">
      <c r="B169" s="3786" t="s">
        <v>6803</v>
      </c>
      <c r="C169" s="3786"/>
      <c r="D169" s="3786"/>
      <c r="E169" s="3786"/>
      <c r="F169" s="3786"/>
      <c r="G169" s="3786"/>
      <c r="H169" s="3786"/>
      <c r="I169" s="3786"/>
      <c r="J169" s="3786"/>
      <c r="K169" s="3786"/>
      <c r="L169" s="3786"/>
      <c r="M169" s="3786"/>
      <c r="N169" s="3786"/>
      <c r="O169" s="3796"/>
      <c r="P169" s="3782" t="s">
        <v>7067</v>
      </c>
      <c r="Q169" s="3783"/>
    </row>
    <row r="170" spans="1:17" ht="20.25" customHeight="1">
      <c r="A170" s="2053" t="s">
        <v>1843</v>
      </c>
      <c r="B170" s="2029" t="s">
        <v>297</v>
      </c>
      <c r="G170" s="2033"/>
      <c r="H170" s="3784" t="s">
        <v>3253</v>
      </c>
      <c r="I170" s="3784"/>
      <c r="J170" s="3784"/>
      <c r="K170" s="3784"/>
      <c r="L170" s="3784"/>
      <c r="M170" s="3784"/>
      <c r="N170" s="3784"/>
      <c r="O170" s="3784"/>
      <c r="P170" s="3785"/>
      <c r="Q170" s="3785"/>
    </row>
    <row r="171" spans="1:17" ht="20.25" customHeight="1">
      <c r="A171" s="2053" t="s">
        <v>698</v>
      </c>
      <c r="B171" s="2029" t="s">
        <v>6195</v>
      </c>
      <c r="G171" s="2033"/>
      <c r="J171" s="2033"/>
      <c r="K171" s="2033"/>
      <c r="L171" s="2033"/>
      <c r="M171" s="2033"/>
      <c r="N171" s="2033"/>
      <c r="O171" s="2033"/>
      <c r="P171" s="2033"/>
      <c r="Q171" s="2033"/>
    </row>
    <row r="172" spans="1:17" ht="33" customHeight="1">
      <c r="A172" s="2053"/>
      <c r="B172" s="3786" t="s">
        <v>6197</v>
      </c>
      <c r="C172" s="3786"/>
      <c r="D172" s="3786"/>
      <c r="E172" s="3786"/>
      <c r="F172" s="3786"/>
      <c r="G172" s="3786"/>
      <c r="H172" s="3786"/>
      <c r="I172" s="3786"/>
      <c r="J172" s="3786"/>
      <c r="K172" s="3786"/>
      <c r="L172" s="3786"/>
      <c r="M172" s="3786"/>
      <c r="N172" s="2439" t="s">
        <v>6198</v>
      </c>
      <c r="O172" s="2078" t="s">
        <v>698</v>
      </c>
      <c r="P172" s="3787" t="s">
        <v>7067</v>
      </c>
      <c r="Q172" s="3788"/>
    </row>
    <row r="173" spans="1:17" ht="20.25" customHeight="1">
      <c r="B173" s="2060" t="s">
        <v>3239</v>
      </c>
      <c r="M173" s="2031"/>
      <c r="N173" s="2031"/>
      <c r="O173" s="2088"/>
      <c r="P173" s="2026"/>
    </row>
    <row r="174" spans="1:17" ht="81" customHeight="1">
      <c r="A174" s="3704" t="s">
        <v>7120</v>
      </c>
      <c r="B174" s="3704"/>
      <c r="C174" s="3704"/>
      <c r="D174" s="3704"/>
      <c r="E174" s="3704"/>
      <c r="F174" s="3704"/>
      <c r="G174" s="3704"/>
      <c r="H174" s="3704"/>
      <c r="I174" s="3704"/>
      <c r="J174" s="3704"/>
      <c r="K174" s="3704"/>
      <c r="L174" s="3704"/>
      <c r="M174" s="3704"/>
      <c r="N174" s="3704"/>
      <c r="O174" s="3704"/>
      <c r="P174" s="3704"/>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9"/>
      <c r="B176" s="3709"/>
      <c r="C176" s="3709"/>
      <c r="D176" s="3709"/>
      <c r="E176" s="3709"/>
      <c r="F176" s="3709"/>
      <c r="G176" s="3709"/>
      <c r="H176" s="3709"/>
      <c r="I176" s="3709"/>
      <c r="J176" s="3709"/>
      <c r="K176" s="3709"/>
      <c r="L176" s="3709"/>
      <c r="M176" s="3709"/>
      <c r="N176" s="3709"/>
      <c r="O176" s="3709"/>
      <c r="P176" s="3709"/>
      <c r="Q176" s="3710"/>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3369</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6802</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2" t="s">
        <v>6804</v>
      </c>
      <c r="C181" s="3712"/>
      <c r="D181" s="3712"/>
      <c r="E181" s="3712"/>
      <c r="F181" s="3712"/>
      <c r="G181" s="3712"/>
      <c r="H181" s="3712"/>
      <c r="I181" s="3712"/>
      <c r="J181" s="3712"/>
      <c r="K181" s="3712"/>
      <c r="L181" s="3712"/>
      <c r="M181" s="3712"/>
      <c r="N181" s="3712"/>
      <c r="O181" s="3712"/>
      <c r="P181" s="3801" t="s">
        <v>7067</v>
      </c>
      <c r="Q181" s="3804"/>
    </row>
    <row r="182" spans="1:17" ht="12" customHeight="1">
      <c r="A182" s="2033"/>
      <c r="C182" s="2033"/>
      <c r="D182" s="2033"/>
      <c r="E182" s="2033"/>
      <c r="F182" s="2033"/>
      <c r="G182" s="2033"/>
      <c r="H182" s="2033"/>
      <c r="I182" s="2033"/>
      <c r="J182" s="2033"/>
      <c r="K182" s="2033"/>
      <c r="L182" s="3797" t="s">
        <v>6805</v>
      </c>
      <c r="M182" s="3797"/>
      <c r="N182" s="2031"/>
      <c r="O182" s="2033"/>
      <c r="P182" s="2085"/>
      <c r="Q182" s="2026"/>
    </row>
    <row r="183" spans="1:17" ht="20.25" customHeight="1">
      <c r="A183" s="2053" t="s">
        <v>1843</v>
      </c>
      <c r="B183" s="2042" t="s">
        <v>3291</v>
      </c>
      <c r="D183" s="2092"/>
      <c r="E183" s="2092"/>
      <c r="F183" s="2092"/>
      <c r="G183" s="2092"/>
      <c r="H183" s="2092"/>
      <c r="I183" s="2092"/>
      <c r="J183" s="2092"/>
      <c r="K183" s="2092"/>
      <c r="L183" s="2030" t="s">
        <v>6806</v>
      </c>
      <c r="M183" s="2031" t="s">
        <v>6807</v>
      </c>
      <c r="N183" s="2092"/>
      <c r="O183" s="2044"/>
      <c r="P183" s="2044"/>
      <c r="Q183" s="2044"/>
    </row>
    <row r="184" spans="1:17" ht="20.25" customHeight="1">
      <c r="A184" s="2053"/>
      <c r="B184" s="2030" t="s">
        <v>6808</v>
      </c>
      <c r="C184" s="2033"/>
      <c r="D184" s="2056"/>
      <c r="E184" s="2056"/>
      <c r="F184" s="2056"/>
      <c r="G184" s="2056"/>
      <c r="H184" s="2033"/>
      <c r="K184" s="2093"/>
      <c r="L184" s="2094">
        <f>ROUNDUP('Part V-Revenues &amp; Expenses'!$P$67*M184,0)</f>
        <v>4</v>
      </c>
      <c r="M184" s="2095">
        <f>'DCA Underwriting Assumptions'!$Q$122</f>
        <v>0.05</v>
      </c>
      <c r="N184" s="2033"/>
      <c r="O184" s="2044"/>
      <c r="P184" s="3765">
        <v>4</v>
      </c>
      <c r="Q184" s="3798"/>
    </row>
    <row r="185" spans="1:17" ht="20.25" customHeight="1">
      <c r="A185" s="2053"/>
      <c r="B185" s="2043"/>
      <c r="D185" s="3712" t="s">
        <v>6809</v>
      </c>
      <c r="E185" s="3712"/>
      <c r="F185" s="3712"/>
      <c r="G185" s="3712"/>
      <c r="H185" s="3712"/>
      <c r="I185" s="3712"/>
      <c r="J185" s="3712"/>
      <c r="K185" s="2093"/>
      <c r="L185" s="2096">
        <f>ROUNDUP(L184*M185,0)</f>
        <v>2</v>
      </c>
      <c r="M185" s="2095">
        <f>'DCA Underwriting Assumptions'!$Q$123</f>
        <v>0.4</v>
      </c>
      <c r="N185" s="2033"/>
      <c r="O185" s="2044"/>
      <c r="P185" s="3799">
        <v>2</v>
      </c>
      <c r="Q185" s="3800"/>
    </row>
    <row r="186" spans="1:17" ht="20.25" customHeight="1">
      <c r="A186" s="2053"/>
      <c r="B186" s="3712" t="s">
        <v>6810</v>
      </c>
      <c r="C186" s="3712"/>
      <c r="D186" s="3712"/>
      <c r="E186" s="3712"/>
      <c r="F186" s="3712"/>
      <c r="G186" s="3712"/>
      <c r="H186" s="3712"/>
      <c r="I186" s="3712"/>
      <c r="J186" s="3712"/>
      <c r="K186" s="2033"/>
      <c r="L186" s="2097">
        <f>ROUNDUP('Part V-Revenues &amp; Expenses'!$P$67*M186,0)</f>
        <v>2</v>
      </c>
      <c r="M186" s="2095">
        <f>'DCA Underwriting Assumptions'!$Q$124</f>
        <v>0.02</v>
      </c>
      <c r="N186" s="2033"/>
      <c r="O186" s="2044"/>
      <c r="P186" s="3801">
        <v>2</v>
      </c>
      <c r="Q186" s="3802"/>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9" customHeight="1">
      <c r="A188" s="3704" t="s">
        <v>7068</v>
      </c>
      <c r="B188" s="3704"/>
      <c r="C188" s="3704"/>
      <c r="D188" s="3704"/>
      <c r="E188" s="3704"/>
      <c r="F188" s="3704"/>
      <c r="G188" s="3704"/>
      <c r="H188" s="3704"/>
      <c r="I188" s="3704"/>
      <c r="J188" s="3704"/>
      <c r="K188" s="3704"/>
      <c r="L188" s="3704"/>
      <c r="M188" s="3704"/>
      <c r="N188" s="3704"/>
      <c r="O188" s="3704"/>
      <c r="P188" s="3704"/>
      <c r="Q188" s="3705"/>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9"/>
      <c r="B190" s="3709"/>
      <c r="C190" s="3709"/>
      <c r="D190" s="3709"/>
      <c r="E190" s="3709"/>
      <c r="F190" s="3709"/>
      <c r="G190" s="3709"/>
      <c r="H190" s="3709"/>
      <c r="I190" s="3709"/>
      <c r="J190" s="3709"/>
      <c r="K190" s="3709"/>
      <c r="L190" s="3709"/>
      <c r="M190" s="3709"/>
      <c r="N190" s="3709"/>
      <c r="O190" s="3709"/>
      <c r="P190" s="3709"/>
      <c r="Q190" s="3710"/>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3367</v>
      </c>
      <c r="B193" s="2029" t="s">
        <v>2434</v>
      </c>
      <c r="C193" s="2029"/>
      <c r="D193" s="2029"/>
      <c r="E193" s="2029"/>
      <c r="F193" s="2029"/>
      <c r="G193" s="2029"/>
      <c r="H193" s="2036"/>
      <c r="I193" s="2036"/>
      <c r="J193" s="2036"/>
      <c r="K193" s="2036"/>
      <c r="L193" s="2036"/>
      <c r="M193" s="2036"/>
      <c r="O193" s="2032" t="s">
        <v>1731</v>
      </c>
      <c r="P193" s="3707"/>
      <c r="Q193" s="3708"/>
    </row>
    <row r="194" spans="1:17" ht="20.25" customHeight="1">
      <c r="B194" s="2030" t="s">
        <v>6802</v>
      </c>
      <c r="P194" s="3765" t="s">
        <v>2649</v>
      </c>
      <c r="Q194" s="3798"/>
    </row>
    <row r="195" spans="1:17" ht="36" customHeight="1">
      <c r="B195" s="3712" t="s">
        <v>6811</v>
      </c>
      <c r="C195" s="3712"/>
      <c r="D195" s="3712"/>
      <c r="E195" s="3712"/>
      <c r="F195" s="3712"/>
      <c r="G195" s="3712"/>
      <c r="H195" s="3712"/>
      <c r="I195" s="3712"/>
      <c r="J195" s="3712"/>
      <c r="K195" s="3712"/>
      <c r="L195" s="3712"/>
      <c r="M195" s="3712"/>
      <c r="N195" s="3712"/>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2" customHeight="1">
      <c r="B197" s="2078" t="s">
        <v>1614</v>
      </c>
      <c r="C197" s="3786" t="s">
        <v>6910</v>
      </c>
      <c r="D197" s="3786"/>
      <c r="E197" s="3786"/>
      <c r="F197" s="3714" t="s">
        <v>6302</v>
      </c>
      <c r="G197" s="3715"/>
      <c r="H197" s="3715"/>
      <c r="I197" s="3715"/>
      <c r="J197" s="3715"/>
      <c r="K197" s="3715"/>
      <c r="L197" s="3715"/>
      <c r="M197" s="3715"/>
      <c r="N197" s="3715"/>
      <c r="O197" s="3715"/>
      <c r="P197" s="3715"/>
      <c r="Q197" s="3716"/>
    </row>
    <row r="198" spans="1:17" ht="30" customHeight="1">
      <c r="B198" s="2078" t="s">
        <v>1615</v>
      </c>
      <c r="C198" s="3786" t="s">
        <v>6911</v>
      </c>
      <c r="D198" s="3786"/>
      <c r="E198" s="3786"/>
      <c r="F198" s="3786"/>
      <c r="G198" s="3796"/>
      <c r="H198" s="3714" t="s">
        <v>6200</v>
      </c>
      <c r="I198" s="3715"/>
      <c r="J198" s="3715"/>
      <c r="K198" s="3715"/>
      <c r="L198" s="3715"/>
      <c r="M198" s="3715"/>
      <c r="N198" s="3715"/>
      <c r="O198" s="3715"/>
      <c r="P198" s="3715"/>
      <c r="Q198" s="3716"/>
    </row>
    <row r="199" spans="1:17" ht="20.25" customHeight="1">
      <c r="A199" s="2053"/>
      <c r="B199" s="2078" t="s">
        <v>1616</v>
      </c>
      <c r="C199" s="3712" t="s">
        <v>6812</v>
      </c>
      <c r="D199" s="3712"/>
      <c r="E199" s="3712"/>
      <c r="F199" s="3712"/>
      <c r="G199" s="3712"/>
      <c r="H199" s="3712"/>
      <c r="I199" s="3712"/>
      <c r="J199" s="3712"/>
      <c r="K199" s="3712"/>
      <c r="L199" s="3712"/>
      <c r="M199" s="3712"/>
      <c r="N199" s="3712"/>
      <c r="O199" s="3712"/>
      <c r="P199" s="3712"/>
      <c r="Q199" s="3712"/>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51" customHeight="1">
      <c r="A203" s="3704" t="s">
        <v>7069</v>
      </c>
      <c r="B203" s="3704"/>
      <c r="C203" s="3704"/>
      <c r="D203" s="3704"/>
      <c r="E203" s="3704"/>
      <c r="F203" s="3704"/>
      <c r="G203" s="3704"/>
      <c r="H203" s="3704"/>
      <c r="I203" s="3704"/>
      <c r="J203" s="3704"/>
      <c r="K203" s="3704"/>
      <c r="L203" s="3704"/>
      <c r="M203" s="3704"/>
      <c r="N203" s="3704"/>
      <c r="O203" s="3704"/>
      <c r="P203" s="3704"/>
      <c r="Q203" s="3705"/>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9"/>
      <c r="B205" s="3709"/>
      <c r="C205" s="3709"/>
      <c r="D205" s="3709"/>
      <c r="E205" s="3709"/>
      <c r="F205" s="3709"/>
      <c r="G205" s="3709"/>
      <c r="H205" s="3709"/>
      <c r="I205" s="3709"/>
      <c r="J205" s="3709"/>
      <c r="K205" s="3709"/>
      <c r="L205" s="3709"/>
      <c r="M205" s="3709"/>
      <c r="N205" s="3709"/>
      <c r="O205" s="3709"/>
      <c r="P205" s="3709"/>
      <c r="Q205" s="3710"/>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3370</v>
      </c>
      <c r="B208" s="2042" t="s">
        <v>6531</v>
      </c>
      <c r="C208" s="2042"/>
      <c r="D208" s="2036"/>
      <c r="E208" s="2036"/>
      <c r="F208" s="2036"/>
      <c r="G208" s="2036"/>
      <c r="H208" s="2036"/>
      <c r="N208" s="2069"/>
      <c r="O208" s="2032" t="s">
        <v>1731</v>
      </c>
      <c r="P208" s="3735"/>
      <c r="Q208" s="3803"/>
    </row>
    <row r="209" spans="1:17" ht="20.25" customHeight="1">
      <c r="A209" s="2053"/>
      <c r="B209" s="2030" t="s">
        <v>6813</v>
      </c>
      <c r="O209" s="2044"/>
      <c r="P209" s="3811" t="s">
        <v>7070</v>
      </c>
      <c r="Q209" s="3812"/>
    </row>
    <row r="210" spans="1:17" ht="20.25" customHeight="1">
      <c r="A210" s="2053"/>
      <c r="B210" s="2030" t="s">
        <v>6814</v>
      </c>
      <c r="O210" s="2044"/>
      <c r="P210" s="3806" t="s">
        <v>7070</v>
      </c>
      <c r="Q210" s="3807"/>
    </row>
    <row r="211" spans="1:17" ht="22.5" customHeight="1">
      <c r="A211" s="2053"/>
      <c r="B211" s="2030" t="s">
        <v>6815</v>
      </c>
      <c r="C211" s="2033"/>
      <c r="K211" s="2031"/>
      <c r="M211" s="2044"/>
      <c r="O211" s="2100"/>
      <c r="P211" s="3806" t="s">
        <v>2652</v>
      </c>
      <c r="Q211" s="3807"/>
    </row>
    <row r="212" spans="1:17" ht="31.5" customHeight="1">
      <c r="A212" s="2053"/>
      <c r="B212" s="3712" t="s">
        <v>6816</v>
      </c>
      <c r="C212" s="3712"/>
      <c r="D212" s="3712"/>
      <c r="E212" s="3712"/>
      <c r="F212" s="3712"/>
      <c r="G212" s="3712"/>
      <c r="H212" s="3712"/>
      <c r="I212" s="3712"/>
      <c r="J212" s="3712"/>
      <c r="K212" s="3712"/>
      <c r="L212" s="3712"/>
      <c r="M212" s="3712"/>
      <c r="N212" s="3712"/>
      <c r="O212" s="3712"/>
      <c r="P212" s="3808" t="s">
        <v>2652</v>
      </c>
      <c r="Q212" s="3809"/>
    </row>
    <row r="213" spans="1:17" ht="20.25" customHeight="1">
      <c r="A213" s="2053"/>
      <c r="B213" s="2030" t="s">
        <v>6817</v>
      </c>
      <c r="M213" s="2033"/>
      <c r="N213" s="2033"/>
      <c r="O213" s="3813" t="s">
        <v>4046</v>
      </c>
      <c r="P213" s="3814"/>
      <c r="Q213" s="3815"/>
    </row>
    <row r="214" spans="1:17" ht="20.25" customHeight="1">
      <c r="A214" s="2053"/>
      <c r="B214" s="2029" t="s">
        <v>6818</v>
      </c>
      <c r="G214" s="3707"/>
      <c r="H214" s="3743"/>
      <c r="I214" s="3743"/>
      <c r="J214" s="3743"/>
      <c r="K214" s="3743"/>
      <c r="L214" s="3744"/>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58.5" customHeight="1">
      <c r="A216" s="3723" t="s">
        <v>7121</v>
      </c>
      <c r="B216" s="3726"/>
      <c r="C216" s="3726"/>
      <c r="D216" s="3726"/>
      <c r="E216" s="3726"/>
      <c r="F216" s="3726"/>
      <c r="G216" s="3726"/>
      <c r="H216" s="3726"/>
      <c r="I216" s="3726"/>
      <c r="J216" s="3726"/>
      <c r="K216" s="3726"/>
      <c r="L216" s="3726"/>
      <c r="M216" s="3726"/>
      <c r="N216" s="3726"/>
      <c r="O216" s="3726"/>
      <c r="P216" s="3726"/>
      <c r="Q216" s="3727"/>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8"/>
      <c r="B218" s="3729"/>
      <c r="C218" s="3729"/>
      <c r="D218" s="3729"/>
      <c r="E218" s="3729"/>
      <c r="F218" s="3729"/>
      <c r="G218" s="3729"/>
      <c r="H218" s="3729"/>
      <c r="I218" s="3729"/>
      <c r="J218" s="3729"/>
      <c r="K218" s="3729"/>
      <c r="L218" s="3729"/>
      <c r="M218" s="3729"/>
      <c r="N218" s="3729"/>
      <c r="O218" s="3729"/>
      <c r="P218" s="3729"/>
      <c r="Q218" s="3730"/>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3371</v>
      </c>
      <c r="B221" s="2029" t="s">
        <v>6537</v>
      </c>
      <c r="C221" s="2029"/>
      <c r="D221" s="2029"/>
      <c r="E221" s="2029"/>
      <c r="F221" s="2029"/>
      <c r="G221" s="2029"/>
      <c r="H221" s="2036"/>
      <c r="I221" s="2036"/>
      <c r="J221" s="2036"/>
      <c r="K221" s="2036"/>
      <c r="L221" s="2036"/>
      <c r="M221" s="2036"/>
      <c r="N221" s="2101"/>
      <c r="O221" s="2032" t="s">
        <v>1731</v>
      </c>
      <c r="P221" s="3707"/>
      <c r="Q221" s="3708"/>
    </row>
    <row r="222" spans="1:17" ht="33.75" customHeight="1">
      <c r="A222" s="2042"/>
      <c r="B222" s="3712" t="s">
        <v>6819</v>
      </c>
      <c r="C222" s="3712"/>
      <c r="D222" s="3712"/>
      <c r="E222" s="3712"/>
      <c r="F222" s="3712"/>
      <c r="G222" s="3712"/>
      <c r="H222" s="3712"/>
      <c r="I222" s="3712"/>
      <c r="J222" s="3712"/>
      <c r="K222" s="3712"/>
      <c r="L222" s="3712"/>
      <c r="M222" s="3712"/>
      <c r="N222" s="3712"/>
      <c r="O222" s="3713"/>
      <c r="P222" s="3823"/>
      <c r="Q222" s="3824"/>
    </row>
    <row r="223" spans="1:17" s="2102" customFormat="1" ht="33.75" customHeight="1">
      <c r="A223" s="2071" t="s">
        <v>1841</v>
      </c>
      <c r="B223" s="3825" t="s">
        <v>6820</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6821</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6822</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6823</v>
      </c>
      <c r="C226" s="3786"/>
      <c r="D226" s="3786"/>
      <c r="E226" s="3786"/>
      <c r="F226" s="3786"/>
      <c r="G226" s="3786"/>
      <c r="H226" s="3786"/>
      <c r="I226" s="3786"/>
      <c r="J226" s="3786"/>
      <c r="K226" s="3786"/>
      <c r="L226" s="3786"/>
      <c r="M226" s="3786"/>
      <c r="N226" s="3786"/>
      <c r="O226" s="3786"/>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3" t="s">
        <v>7059</v>
      </c>
      <c r="B228" s="3724"/>
      <c r="C228" s="3724"/>
      <c r="D228" s="3724"/>
      <c r="E228" s="3724"/>
      <c r="F228" s="3724"/>
      <c r="G228" s="3724"/>
      <c r="H228" s="3724"/>
      <c r="I228" s="3724"/>
      <c r="J228" s="3724"/>
      <c r="K228" s="3724"/>
      <c r="L228" s="3724"/>
      <c r="M228" s="3724"/>
      <c r="N228" s="3724"/>
      <c r="O228" s="3724"/>
      <c r="P228" s="3724"/>
      <c r="Q228" s="3725"/>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8"/>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3374</v>
      </c>
      <c r="B233" s="2029" t="s">
        <v>3356</v>
      </c>
      <c r="C233" s="2029"/>
      <c r="D233" s="2029"/>
      <c r="E233" s="2029"/>
      <c r="F233" s="2029"/>
      <c r="G233" s="2029"/>
      <c r="H233" s="2036"/>
      <c r="I233" s="2036"/>
      <c r="J233" s="2036"/>
      <c r="K233" s="2036"/>
      <c r="L233" s="2036"/>
      <c r="M233" s="2036"/>
      <c r="N233" s="2103"/>
      <c r="O233" s="2032" t="s">
        <v>1731</v>
      </c>
      <c r="P233" s="3707"/>
      <c r="Q233" s="3744"/>
    </row>
    <row r="234" spans="1:17" ht="20.25" customHeight="1">
      <c r="A234" s="2053"/>
      <c r="B234" s="3816" t="s">
        <v>3357</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3358</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6824</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6825</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6826</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6827</v>
      </c>
      <c r="D239" s="3786"/>
      <c r="E239" s="3786"/>
      <c r="F239" s="3786"/>
      <c r="G239" s="3786"/>
      <c r="H239" s="3786"/>
      <c r="I239" s="3786"/>
      <c r="J239" s="3786"/>
      <c r="K239" s="3786"/>
      <c r="L239" s="3786"/>
      <c r="M239" s="3786"/>
      <c r="N239" s="3786"/>
      <c r="O239" s="3786"/>
      <c r="P239" s="3786"/>
      <c r="Q239" s="3786"/>
    </row>
    <row r="240" spans="1:17" ht="29.25" customHeight="1">
      <c r="A240" s="2053"/>
      <c r="B240" s="2104" t="s">
        <v>3863</v>
      </c>
      <c r="C240" s="3786" t="s">
        <v>6828</v>
      </c>
      <c r="D240" s="3786"/>
      <c r="E240" s="3786"/>
      <c r="F240" s="3786"/>
      <c r="G240" s="3786"/>
      <c r="H240" s="3786"/>
      <c r="I240" s="3786"/>
      <c r="J240" s="3786"/>
      <c r="K240" s="3786"/>
      <c r="L240" s="3786"/>
      <c r="M240" s="3786"/>
      <c r="N240" s="3786"/>
      <c r="O240" s="3786"/>
      <c r="P240" s="3786"/>
      <c r="Q240" s="3786"/>
    </row>
    <row r="241" spans="1:17" ht="15.75" customHeight="1">
      <c r="A241" s="2053"/>
      <c r="B241" s="2104" t="s">
        <v>6829</v>
      </c>
      <c r="C241" s="3786" t="s">
        <v>6830</v>
      </c>
      <c r="D241" s="3786"/>
      <c r="E241" s="3786"/>
      <c r="F241" s="3786"/>
      <c r="G241" s="3786"/>
      <c r="H241" s="3786"/>
      <c r="I241" s="3786"/>
      <c r="J241" s="3786"/>
      <c r="K241" s="3786"/>
      <c r="L241" s="3786"/>
      <c r="M241" s="3786"/>
      <c r="N241" s="3786"/>
      <c r="O241" s="3786"/>
      <c r="P241" s="3786"/>
      <c r="Q241" s="3786"/>
    </row>
    <row r="242" spans="1:17" ht="20.25" customHeight="1">
      <c r="B242" s="2044" t="s">
        <v>6831</v>
      </c>
      <c r="C242" s="2043" t="s">
        <v>6832</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4" t="s">
        <v>7059</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9"/>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3375</v>
      </c>
      <c r="B249" s="2029" t="s">
        <v>2435</v>
      </c>
      <c r="C249" s="2029"/>
      <c r="D249" s="2029"/>
      <c r="E249" s="2036"/>
      <c r="G249" s="2030" t="s">
        <v>655</v>
      </c>
      <c r="H249" s="2036"/>
      <c r="I249" s="2036"/>
      <c r="J249" s="2036"/>
      <c r="K249" s="2036"/>
      <c r="L249" s="2036"/>
      <c r="M249" s="2036"/>
      <c r="O249" s="2032" t="s">
        <v>1731</v>
      </c>
      <c r="P249" s="3707"/>
      <c r="Q249" s="3744"/>
    </row>
    <row r="250" spans="1:17" ht="20.25" customHeight="1">
      <c r="A250" s="2053"/>
      <c r="B250" s="2030" t="s">
        <v>2438</v>
      </c>
      <c r="D250" s="2056"/>
      <c r="E250" s="2056"/>
      <c r="O250" s="2044"/>
      <c r="P250" s="3765" t="s">
        <v>2652</v>
      </c>
      <c r="Q250" s="3766"/>
    </row>
    <row r="251" spans="1:17" ht="20.25" customHeight="1">
      <c r="A251" s="2053"/>
      <c r="B251" s="2030" t="s">
        <v>3142</v>
      </c>
      <c r="D251" s="2056"/>
      <c r="E251" s="2056"/>
      <c r="O251" s="2044"/>
      <c r="P251" s="3799" t="s">
        <v>2652</v>
      </c>
      <c r="Q251" s="3837"/>
    </row>
    <row r="252" spans="1:17" ht="20.25" customHeight="1">
      <c r="A252" s="2053"/>
      <c r="B252" s="2030" t="s">
        <v>4029</v>
      </c>
      <c r="D252" s="2056"/>
      <c r="E252" s="2056"/>
      <c r="O252" s="2044"/>
      <c r="P252" s="3838" t="s">
        <v>2652</v>
      </c>
      <c r="Q252" s="3839"/>
    </row>
    <row r="253" spans="1:17" ht="20.25" customHeight="1">
      <c r="A253" s="2053"/>
      <c r="B253" s="2030" t="s">
        <v>3143</v>
      </c>
      <c r="O253" s="2044"/>
      <c r="P253" s="3799" t="s">
        <v>2652</v>
      </c>
      <c r="Q253" s="3837"/>
    </row>
    <row r="254" spans="1:17" ht="20.25" customHeight="1">
      <c r="A254" s="2053"/>
      <c r="B254" s="2030" t="s">
        <v>690</v>
      </c>
      <c r="D254" s="3704"/>
      <c r="E254" s="3826"/>
      <c r="F254" s="3826"/>
      <c r="G254" s="3826"/>
      <c r="H254" s="3826"/>
      <c r="I254" s="3826"/>
      <c r="J254" s="3826"/>
      <c r="K254" s="3826"/>
      <c r="L254" s="3826"/>
      <c r="M254" s="3826"/>
      <c r="N254" s="3826"/>
      <c r="O254" s="3826"/>
      <c r="P254" s="3840"/>
      <c r="Q254" s="3841"/>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4" t="s">
        <v>7059</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9"/>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3376</v>
      </c>
      <c r="B261" s="2029" t="s">
        <v>3937</v>
      </c>
      <c r="C261" s="2029"/>
      <c r="D261" s="2029"/>
      <c r="E261" s="2029"/>
      <c r="F261" s="2029"/>
      <c r="G261" s="2029"/>
      <c r="H261" s="2036"/>
      <c r="I261" s="2036"/>
      <c r="J261" s="2036"/>
      <c r="K261" s="2036"/>
      <c r="L261" s="2036"/>
      <c r="M261" s="2036"/>
      <c r="O261" s="2032" t="s">
        <v>1731</v>
      </c>
      <c r="P261" s="3707"/>
      <c r="Q261" s="3744"/>
    </row>
    <row r="262" spans="1:17" ht="20.25" customHeight="1">
      <c r="B262" s="2030" t="s">
        <v>6249</v>
      </c>
      <c r="O262" s="2044"/>
      <c r="P262" s="3721"/>
      <c r="Q262" s="3722"/>
    </row>
    <row r="263" spans="1:17" ht="20.25" customHeight="1">
      <c r="A263" s="2053" t="s">
        <v>1841</v>
      </c>
      <c r="B263" s="2029" t="s">
        <v>3936</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4031</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6833</v>
      </c>
      <c r="C266" s="3844"/>
      <c r="D266" s="3844"/>
      <c r="E266" s="3844"/>
      <c r="F266" s="3844"/>
      <c r="G266" s="3844"/>
      <c r="H266" s="3844"/>
      <c r="I266" s="3844"/>
      <c r="J266" s="3844"/>
      <c r="K266" s="3844"/>
      <c r="L266" s="3844"/>
      <c r="M266" s="3844"/>
      <c r="N266" s="3844"/>
      <c r="O266" s="3844"/>
      <c r="P266" s="3801"/>
      <c r="Q266" s="3804"/>
    </row>
    <row r="267" spans="1:17" ht="20.25" customHeight="1">
      <c r="B267" s="2060" t="s">
        <v>3239</v>
      </c>
      <c r="D267" s="2060"/>
      <c r="E267" s="2060"/>
      <c r="F267" s="2060"/>
      <c r="G267" s="2060"/>
      <c r="H267" s="2043"/>
      <c r="I267" s="2031"/>
      <c r="J267" s="2031"/>
      <c r="K267" s="2031"/>
    </row>
    <row r="268" spans="1:17" ht="20.25" customHeight="1">
      <c r="A268" s="3704" t="s">
        <v>7059</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9"/>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3377</v>
      </c>
      <c r="B273" s="2029" t="s">
        <v>2508</v>
      </c>
      <c r="C273" s="2029"/>
      <c r="D273" s="2029"/>
      <c r="E273" s="2036"/>
      <c r="F273" s="2036"/>
      <c r="G273" s="2036"/>
      <c r="H273" s="2036"/>
      <c r="O273" s="2032" t="s">
        <v>1731</v>
      </c>
      <c r="P273" s="3711"/>
      <c r="Q273" s="3711"/>
    </row>
    <row r="274" spans="1:17" ht="33" customHeight="1">
      <c r="A274" s="2033"/>
      <c r="B274" s="3712" t="s">
        <v>6834</v>
      </c>
      <c r="C274" s="3712"/>
      <c r="D274" s="3712"/>
      <c r="E274" s="3712"/>
      <c r="F274" s="3712"/>
      <c r="G274" s="3712"/>
      <c r="H274" s="3712"/>
      <c r="I274" s="3712"/>
      <c r="J274" s="3712"/>
      <c r="K274" s="3712"/>
      <c r="L274" s="3712"/>
      <c r="M274" s="3712"/>
      <c r="N274" s="3712"/>
      <c r="O274" s="2105"/>
      <c r="P274" s="3721" t="s">
        <v>7067</v>
      </c>
      <c r="Q274" s="3722"/>
    </row>
    <row r="275" spans="1:17" ht="34.5" customHeight="1">
      <c r="A275" s="2033"/>
      <c r="B275" s="2078" t="s">
        <v>1841</v>
      </c>
      <c r="C275" s="3786" t="s">
        <v>3310</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6835</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3865</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3866</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3867</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3868</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3311</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3916</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3917</v>
      </c>
      <c r="D283" s="3786"/>
      <c r="E283" s="3786"/>
      <c r="F283" s="3786"/>
      <c r="G283" s="3786"/>
      <c r="H283" s="3786"/>
      <c r="I283" s="3786"/>
      <c r="J283" s="3786"/>
      <c r="K283" s="3786"/>
      <c r="L283" s="3786"/>
      <c r="M283" s="3786"/>
      <c r="N283" s="3786"/>
      <c r="O283" s="3786"/>
      <c r="P283" s="2076"/>
      <c r="Q283" s="2026"/>
    </row>
    <row r="284" spans="1:17" ht="47.25" customHeight="1">
      <c r="A284" s="2071"/>
      <c r="B284" s="3786" t="s">
        <v>6836</v>
      </c>
      <c r="C284" s="3786"/>
      <c r="D284" s="3786"/>
      <c r="E284" s="3786"/>
      <c r="F284" s="3786"/>
      <c r="G284" s="3786"/>
      <c r="H284" s="3786"/>
      <c r="I284" s="3786"/>
      <c r="J284" s="3786"/>
      <c r="K284" s="3786"/>
      <c r="L284" s="3786"/>
      <c r="M284" s="3786"/>
      <c r="N284" s="3786"/>
      <c r="O284" s="3796"/>
      <c r="P284" s="3784" t="s">
        <v>7067</v>
      </c>
      <c r="Q284" s="3784"/>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78.75" customHeight="1">
      <c r="A286" s="3704" t="s">
        <v>7071</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9"/>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3378</v>
      </c>
      <c r="B291" s="2029" t="s">
        <v>2436</v>
      </c>
      <c r="C291" s="2033"/>
      <c r="D291" s="2029"/>
      <c r="E291" s="2036"/>
      <c r="F291" s="2036"/>
      <c r="G291" s="2036"/>
      <c r="H291" s="2036"/>
      <c r="J291" s="2036"/>
      <c r="K291" s="2036"/>
      <c r="L291" s="2036"/>
      <c r="M291" s="2036"/>
      <c r="O291" s="2032" t="s">
        <v>1731</v>
      </c>
      <c r="P291" s="3707"/>
      <c r="Q291" s="3744"/>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59.25" customHeight="1">
      <c r="A293" s="3704" t="s">
        <v>7072</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9"/>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4044</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4045</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4046</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4050</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4047</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4048</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4049</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6200</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6303</v>
      </c>
      <c r="L341" s="2106"/>
      <c r="M341" s="2106"/>
      <c r="N341" s="2106"/>
      <c r="O341" s="2106"/>
      <c r="P341" s="2106"/>
      <c r="Q341" s="2106"/>
    </row>
    <row r="342" spans="3:17" ht="20.25" customHeight="1">
      <c r="C342" s="2106" t="s">
        <v>1429</v>
      </c>
      <c r="D342" s="2106"/>
      <c r="E342" s="2106"/>
      <c r="F342" s="2106"/>
      <c r="G342" s="2106"/>
      <c r="H342" s="2106"/>
      <c r="I342" s="2106"/>
      <c r="J342" s="2106"/>
      <c r="K342" s="2106" t="s">
        <v>6302</v>
      </c>
      <c r="L342" s="2106"/>
      <c r="M342" s="2106"/>
      <c r="N342" s="2106"/>
      <c r="O342" s="2106"/>
      <c r="P342" s="2106"/>
      <c r="Q342" s="2106"/>
    </row>
    <row r="343" spans="3:17" ht="20.25" customHeight="1">
      <c r="C343" s="2106" t="s">
        <v>1965</v>
      </c>
      <c r="D343" s="2106"/>
      <c r="E343" s="2106"/>
      <c r="F343" s="2106"/>
      <c r="G343" s="2106"/>
      <c r="H343" s="2106"/>
      <c r="I343" s="2106"/>
      <c r="J343" s="2106"/>
      <c r="K343" s="2106" t="s">
        <v>6201</v>
      </c>
      <c r="L343" s="2106"/>
      <c r="M343" s="2106"/>
      <c r="N343" s="2106"/>
      <c r="O343" s="2106"/>
      <c r="P343" s="2106"/>
      <c r="Q343" s="2106"/>
    </row>
    <row r="344" spans="3:17" ht="20.25" customHeight="1">
      <c r="C344" s="2106" t="s">
        <v>162</v>
      </c>
      <c r="D344" s="2106"/>
      <c r="E344" s="2106"/>
      <c r="F344" s="2106"/>
      <c r="G344" s="2106"/>
      <c r="H344" s="2106"/>
      <c r="I344" s="2106"/>
      <c r="J344" s="2106"/>
      <c r="K344" s="2106" t="s">
        <v>6304</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3850</v>
      </c>
    </row>
    <row r="353" spans="3:13" s="2030" customFormat="1" ht="20.25" customHeight="1">
      <c r="C353" s="2030" t="s">
        <v>950</v>
      </c>
      <c r="M353" s="2030" t="s">
        <v>950</v>
      </c>
    </row>
    <row r="354" spans="3:13" s="2030" customFormat="1" ht="20.25" customHeight="1">
      <c r="C354" s="2030" t="s">
        <v>1938</v>
      </c>
      <c r="M354" s="2030" t="s">
        <v>3847</v>
      </c>
    </row>
    <row r="355" spans="3:13" s="2030" customFormat="1" ht="20.25" customHeight="1">
      <c r="C355" s="2030" t="s">
        <v>2341</v>
      </c>
      <c r="M355" s="2030" t="s">
        <v>3878</v>
      </c>
    </row>
    <row r="356" spans="3:13" s="2030" customFormat="1" ht="20.25" customHeight="1">
      <c r="C356" s="2030" t="s">
        <v>1939</v>
      </c>
      <c r="M356" s="2030" t="s">
        <v>1540</v>
      </c>
    </row>
    <row r="357" spans="3:13" s="2030" customFormat="1" ht="20.25" customHeight="1">
      <c r="C357" s="2030" t="s">
        <v>1810</v>
      </c>
      <c r="M357" s="2030" t="s">
        <v>3848</v>
      </c>
    </row>
    <row r="358" spans="3:13" s="2030" customFormat="1" ht="20.25" customHeight="1">
      <c r="C358" s="2030" t="s">
        <v>548</v>
      </c>
      <c r="M358" s="2030" t="s">
        <v>3897</v>
      </c>
    </row>
    <row r="359" spans="3:13" s="2030" customFormat="1" ht="20.25" customHeight="1">
      <c r="C359" s="2030" t="s">
        <v>2035</v>
      </c>
      <c r="M359" s="2030" t="s">
        <v>3898</v>
      </c>
    </row>
    <row r="360" spans="3:13" s="2030" customFormat="1" ht="20.25" customHeight="1">
      <c r="C360" s="2030" t="s">
        <v>30</v>
      </c>
      <c r="M360" s="2030" t="s">
        <v>3849</v>
      </c>
    </row>
    <row r="361" spans="3:13" s="2030" customFormat="1" ht="20.25" customHeight="1">
      <c r="M361" s="2030" t="s">
        <v>1952</v>
      </c>
    </row>
    <row r="362" spans="3:13" s="2030" customFormat="1" ht="20.25" customHeight="1">
      <c r="M362" s="2112" t="s">
        <v>6837</v>
      </c>
    </row>
    <row r="363" spans="3:13" s="2030" customFormat="1" ht="20.25" customHeight="1"/>
    <row r="364" spans="3:13" s="2030" customFormat="1" ht="20.25" customHeight="1">
      <c r="M364" s="2029" t="s">
        <v>3260</v>
      </c>
    </row>
    <row r="365" spans="3:13" s="2030" customFormat="1" ht="20.25" customHeight="1">
      <c r="M365" s="2030" t="s">
        <v>3335</v>
      </c>
    </row>
    <row r="366" spans="3:13" s="2030" customFormat="1" ht="20.25" customHeight="1">
      <c r="M366" s="2030" t="s">
        <v>3330</v>
      </c>
    </row>
    <row r="367" spans="3:13" s="2030" customFormat="1" ht="20.25" customHeight="1">
      <c r="M367" s="2030" t="s">
        <v>3253</v>
      </c>
    </row>
    <row r="368" spans="3:13" s="2030" customFormat="1" ht="20.25" customHeight="1">
      <c r="M368" s="2030" t="s">
        <v>3326</v>
      </c>
    </row>
    <row r="369" spans="4:13" s="2030" customFormat="1" ht="20.25" customHeight="1">
      <c r="D369" s="2029" t="s">
        <v>1888</v>
      </c>
      <c r="M369" s="2030" t="s">
        <v>3254</v>
      </c>
    </row>
    <row r="370" spans="4:13" s="2030" customFormat="1" ht="20.25" customHeight="1">
      <c r="M370" s="2030" t="s">
        <v>3327</v>
      </c>
    </row>
    <row r="371" spans="4:13" s="2030" customFormat="1" ht="20.25" customHeight="1">
      <c r="M371" s="2030" t="s">
        <v>3255</v>
      </c>
    </row>
    <row r="372" spans="4:13" s="2030" customFormat="1" ht="20.25" customHeight="1">
      <c r="M372" s="2030" t="s">
        <v>3328</v>
      </c>
    </row>
    <row r="373" spans="4:13" s="2030" customFormat="1" ht="20.25" customHeight="1">
      <c r="M373" s="2030" t="s">
        <v>3331</v>
      </c>
    </row>
    <row r="374" spans="4:13" s="2030" customFormat="1" ht="20.25" customHeight="1">
      <c r="M374" s="2030" t="s">
        <v>3256</v>
      </c>
    </row>
    <row r="375" spans="4:13" s="2030" customFormat="1" ht="20.25" customHeight="1">
      <c r="M375" s="2030" t="s">
        <v>3257</v>
      </c>
    </row>
    <row r="376" spans="4:13" s="2030" customFormat="1" ht="20.25" customHeight="1">
      <c r="M376" s="2030" t="s">
        <v>3329</v>
      </c>
    </row>
    <row r="377" spans="4:13" s="2030" customFormat="1" ht="20.25" customHeight="1">
      <c r="M377" s="2030" t="s">
        <v>3332</v>
      </c>
    </row>
    <row r="378" spans="4:13" s="2030" customFormat="1" ht="20.25" customHeight="1">
      <c r="M378" s="2030" t="s">
        <v>3333</v>
      </c>
    </row>
    <row r="379" spans="4:13" s="2030" customFormat="1" ht="20.25" customHeight="1">
      <c r="M379" s="2030" t="s">
        <v>6525</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formula1>$O$302:$O$310</formula1>
    </dataValidation>
    <dataValidation type="list" allowBlank="1" showInputMessage="1" showErrorMessage="1" sqref="O211:P211 P212 P209:P210">
      <formula1>"&lt;&lt;Select&gt;&gt;,Yes - see Comment, No, N/A - no pre-app"</formula1>
    </dataValidation>
    <dataValidation type="whole" allowBlank="1" showInputMessage="1" showErrorMessage="1" sqref="P184:P186">
      <formula1>0</formula1>
      <formula2>200</formula2>
    </dataValidation>
    <dataValidation type="list" allowBlank="1" showInputMessage="1" showErrorMessage="1" sqref="P236 P181">
      <formula1>"Agree,Disagree"</formula1>
    </dataValidation>
    <dataValidation type="list" allowBlank="1" showInputMessage="1" showErrorMessage="1" sqref="P9:Q9">
      <formula1>"PASS, FAIL, W/DRWN"</formula1>
    </dataValidation>
    <dataValidation type="list" allowBlank="1" showInputMessage="1" showErrorMessage="1" sqref="L91">
      <formula1>"&lt;&lt;Select&gt;&gt;, Warranty Deed, Purchase Contract, Ground lease/Option, RFP Selection, Other (see comments)"</formula1>
    </dataValidation>
    <dataValidation type="list" allowBlank="1" showInputMessage="1" showErrorMessage="1" sqref="O91">
      <formula1>"&lt;&lt;Select&gt;&gt;, Warranty Deed, Contract/Option, Ground lease, No site control, Other (see comments)"</formula1>
    </dataValidation>
    <dataValidation type="list" allowBlank="1" showInputMessage="1" showErrorMessage="1" sqref="M134">
      <formula1>"&lt;&lt;Select&gt;&gt;, Room, Building"</formula1>
    </dataValidation>
    <dataValidation type="list" allowBlank="1" showInputMessage="1" showErrorMessage="1" sqref="F197">
      <formula1>$K$340:$K$344</formula1>
    </dataValidation>
    <dataValidation type="list" allowBlank="1" showInputMessage="1" showErrorMessage="1" sqref="H198">
      <formula1>$K$335:$K$337</formula1>
    </dataValidation>
    <dataValidation type="list" allowBlank="1" showInputMessage="1" showErrorMessage="1" sqref="P222:P223 P224:Q226 P169 P172 P274 P284">
      <formula1>"Agree, Disagree"</formula1>
    </dataValidation>
    <dataValidation type="list" allowBlank="1" showInputMessage="1" showErrorMessage="1" sqref="P291 P249 P106 P193 P150 P167 P122 P131 P113 P38 P233 P62 P52 P99 P31 P221 P273 P208 P73 P160 P179 P261 P46 P9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dataValidation type="list" allowBlank="1" showInputMessage="1" showErrorMessage="1" sqref="Q223 Q54 P151 Q120:Q121 P39 P194:P195 Q271:Q272 Q247:Q248 Q289:Q290 P75:Q76 P180:Q180 P262:Q262 P78:Q81 P47 P250:P253 P132 P64:Q64 P264:Q266">
      <formula1>"Yes, No"</formula1>
    </dataValidation>
    <dataValidation type="list" allowBlank="1" showInputMessage="1" showErrorMessage="1" sqref="M137">
      <formula1>"&lt;&lt;Select&gt;&gt;, On-site laundry, W&amp;D installed in each unit, Both options"</formula1>
    </dataValidation>
    <dataValidation type="list" allowBlank="1" showInputMessage="1" showErrorMessage="1" sqref="C140:C143">
      <formula1>$M$353:$M$362</formula1>
    </dataValidation>
    <dataValidation type="list" allowBlank="1" showInputMessage="1" showErrorMessage="1" sqref="M135">
      <formula1>"&lt;&lt;Select&gt;&gt;, Gazebo, Covered Porch, Other Pre-Approved"</formula1>
    </dataValidation>
    <dataValidation type="list" allowBlank="1" showInputMessage="1" showErrorMessage="1" sqref="H152">
      <formula1>"&lt;&lt;Select&gt;&gt;, Substantial Rehab Gutted, Substantial Rehab Non-Gutted,Historic Preservation"</formula1>
    </dataValidation>
    <dataValidation type="list" allowBlank="1" showInputMessage="1" showErrorMessage="1" sqref="H170">
      <formula1>$M$365:$M$379</formula1>
    </dataValidation>
    <dataValidation type="list" allowBlank="1" showInputMessage="1" showErrorMessage="1" sqref="P65:Q66">
      <formula1>"Yes, No, N/a"</formula1>
    </dataValidation>
  </dataValidations>
  <hyperlinks>
    <hyperlink ref="N172" r:id="rId1"/>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800"/>
  <sheetViews>
    <sheetView showGridLines="0" topLeftCell="A408" zoomScaleNormal="100" workbookViewId="0">
      <selection activeCell="A408" sqref="A408:P40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Freedom's Path Augusta III, Augusta, Richmond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6840</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75</v>
      </c>
      <c r="P6" s="2135">
        <f>P404</f>
        <v>22</v>
      </c>
      <c r="Q6" s="2136" t="s">
        <v>6841</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6133</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6134</v>
      </c>
      <c r="G10" s="2141"/>
      <c r="I10" s="2141"/>
      <c r="J10" s="2141"/>
      <c r="K10" s="2141"/>
      <c r="L10" s="2141"/>
      <c r="M10" s="2144" t="s">
        <v>6842</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3390</v>
      </c>
      <c r="B12" s="2146" t="s">
        <v>3391</v>
      </c>
      <c r="C12" s="2147"/>
      <c r="D12" s="2147"/>
      <c r="E12" s="2120" t="s">
        <v>3398</v>
      </c>
      <c r="F12" s="4054" t="s">
        <v>6494</v>
      </c>
      <c r="G12" s="4054"/>
      <c r="H12" s="4054"/>
      <c r="I12" s="4054"/>
      <c r="J12" s="4054"/>
      <c r="K12" s="4054"/>
      <c r="L12" s="4054"/>
      <c r="M12" s="4054"/>
      <c r="N12" s="4054"/>
      <c r="O12" s="2148" t="s">
        <v>3808</v>
      </c>
      <c r="P12" s="2149">
        <f>SUM(P13:P31)</f>
        <v>0</v>
      </c>
      <c r="Q12" s="4055"/>
      <c r="R12" s="4055"/>
      <c r="S12" s="4055"/>
      <c r="T12" s="4055"/>
      <c r="U12" s="4055"/>
      <c r="V12" s="2150"/>
    </row>
    <row r="13" spans="1:25" s="2121" customFormat="1" ht="14.45" customHeight="1">
      <c r="A13" s="2151" t="s">
        <v>1668</v>
      </c>
      <c r="B13" s="2152" t="s">
        <v>3392</v>
      </c>
      <c r="C13" s="2153"/>
      <c r="D13" s="2154"/>
      <c r="E13" s="2155">
        <f>$O$77</f>
        <v>20</v>
      </c>
      <c r="F13" s="4056" t="str">
        <f>$A$81</f>
        <v>The project is well located to access almost every category of Desirable Activities.  While ostensibly located in a Food Desert, the property is within less than a mile of a Food Lion grocery store.  For this project, the proximity to the VA Medical Center with hospital services, pharmacy, emergency services, dental services, primary care medical, and vocational and physical therapy opportunities is unsurpassed.  However, since it is possible that some residents will not be Veterans, we have included Desirable sites that are available to non-Veterans.</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4036</v>
      </c>
      <c r="C14" s="2158"/>
      <c r="D14" s="2159"/>
      <c r="E14" s="2160">
        <f>$O$86</f>
        <v>3</v>
      </c>
      <c r="F14" s="4037" t="str">
        <f>$A$102</f>
        <v>The Site is within a few hundred feet of a transit stop on Wrightsboro Road with a transit system schedule that meets the DCA criteria for regular, ongoing service.</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3337</v>
      </c>
      <c r="C15" s="2158"/>
      <c r="D15" s="2159"/>
      <c r="E15" s="2160">
        <f>$O$106</f>
        <v>1</v>
      </c>
      <c r="F15" s="4037" t="str">
        <f>$A$117</f>
        <v>The only school that qualifies for points in this category is Monte Sano Elementary.  Documentation has been provided that it was a BTO school in 2018.</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3393</v>
      </c>
      <c r="C16" s="2158"/>
      <c r="D16" s="2159"/>
      <c r="E16" s="2457">
        <f>$O$122</f>
        <v>7</v>
      </c>
      <c r="F16" s="4037" t="str">
        <f>$A$137</f>
        <v xml:space="preserve">The project is included within the City of Augusta Veterans Redevelopment Plan for the Charlie Norwood VAMC campus area.  The passage of this Plan included significant community input, and substantial resources have been committed and expended to implement aspects of the Plan. </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3394</v>
      </c>
      <c r="C17" s="2167"/>
      <c r="D17" s="2168"/>
      <c r="E17" s="2169" t="s">
        <v>1610</v>
      </c>
      <c r="F17" s="4061" t="str">
        <f>$A$147</f>
        <v>Not Applicable</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4037</v>
      </c>
      <c r="C18" s="2158"/>
      <c r="D18" s="2159"/>
      <c r="E18" s="2170">
        <f>$O$152</f>
        <v>0</v>
      </c>
      <c r="F18" s="4037" t="str">
        <f>$A$165</f>
        <v>Not Applicable</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4039</v>
      </c>
      <c r="B19" s="2157" t="s">
        <v>3261</v>
      </c>
      <c r="C19" s="2158"/>
      <c r="D19" s="2159"/>
      <c r="E19" s="2170">
        <f>$O$179</f>
        <v>0</v>
      </c>
      <c r="F19" s="4037" t="str">
        <f>$A$184</f>
        <v>Not Applicable</v>
      </c>
      <c r="G19" s="3876"/>
      <c r="H19" s="3876"/>
      <c r="I19" s="3876"/>
      <c r="J19" s="3876"/>
      <c r="K19" s="3876"/>
      <c r="L19" s="3876"/>
      <c r="M19" s="3876"/>
      <c r="N19" s="3876"/>
      <c r="O19" s="4038"/>
      <c r="P19" s="2162"/>
      <c r="Q19" s="4064"/>
      <c r="R19" s="4004"/>
      <c r="S19" s="4004"/>
    </row>
    <row r="20" spans="1:35" s="2121" customFormat="1" ht="14.45" customHeight="1">
      <c r="A20" s="2151" t="s">
        <v>4051</v>
      </c>
      <c r="B20" s="2157" t="s">
        <v>4040</v>
      </c>
      <c r="C20" s="2158"/>
      <c r="D20" s="2159"/>
      <c r="E20" s="2169">
        <f>$O$189</f>
        <v>0</v>
      </c>
      <c r="F20" s="4037" t="str">
        <f>$A$195</f>
        <v>Not Applicable</v>
      </c>
      <c r="G20" s="3876"/>
      <c r="H20" s="3876"/>
      <c r="I20" s="3876"/>
      <c r="J20" s="3876"/>
      <c r="K20" s="3876"/>
      <c r="L20" s="3876"/>
      <c r="M20" s="3876"/>
      <c r="N20" s="3876"/>
      <c r="O20" s="4038"/>
      <c r="P20" s="2162"/>
      <c r="Q20" s="4064"/>
      <c r="R20" s="4004"/>
      <c r="S20" s="4004"/>
    </row>
    <row r="21" spans="1:35" s="2121" customFormat="1" ht="14.45" customHeight="1">
      <c r="A21" s="2171" t="s">
        <v>6241</v>
      </c>
      <c r="B21" s="2166" t="s">
        <v>4041</v>
      </c>
      <c r="C21" s="2167"/>
      <c r="D21" s="2168"/>
      <c r="E21" s="2172">
        <f>$O$200</f>
        <v>3</v>
      </c>
      <c r="F21" s="4061" t="str">
        <f>$A$205</f>
        <v>While another project has been developed in the area (Freedom's Path Augusta I), no project has been done in the last six years within 1 mile of the project site, thereby affording this project 3 points.  Though not required, maps of this fact have been included in the Previous Projects tab in the application.</v>
      </c>
      <c r="G21" s="4062"/>
      <c r="H21" s="4062"/>
      <c r="I21" s="4062"/>
      <c r="J21" s="4062"/>
      <c r="K21" s="4062"/>
      <c r="L21" s="4062"/>
      <c r="M21" s="4062"/>
      <c r="N21" s="4062"/>
      <c r="O21" s="4063"/>
      <c r="P21" s="2162"/>
      <c r="Q21" s="4064"/>
      <c r="R21" s="4004"/>
      <c r="S21" s="4004"/>
    </row>
    <row r="22" spans="1:35" s="2121" customFormat="1" ht="14.45" customHeight="1">
      <c r="A22" s="2151" t="s">
        <v>6635</v>
      </c>
      <c r="B22" s="2157" t="s">
        <v>6547</v>
      </c>
      <c r="C22" s="2158"/>
      <c r="D22" s="2159"/>
      <c r="E22" s="2170">
        <f>$O$223</f>
        <v>0</v>
      </c>
      <c r="F22" s="4037" t="str">
        <f>$A$228</f>
        <v>Not Applicable</v>
      </c>
      <c r="G22" s="3876"/>
      <c r="H22" s="3876"/>
      <c r="I22" s="3876"/>
      <c r="J22" s="3876"/>
      <c r="K22" s="3876"/>
      <c r="L22" s="3876"/>
      <c r="M22" s="3876"/>
      <c r="N22" s="3876"/>
      <c r="O22" s="4038"/>
      <c r="P22" s="2162"/>
      <c r="Q22" s="4064"/>
      <c r="R22" s="4004"/>
      <c r="S22" s="4004"/>
    </row>
    <row r="23" spans="1:35" s="2121" customFormat="1" ht="14.45" customHeight="1">
      <c r="A23" s="2151" t="s">
        <v>6637</v>
      </c>
      <c r="B23" s="2157" t="s">
        <v>6636</v>
      </c>
      <c r="C23" s="2158"/>
      <c r="D23" s="2159"/>
      <c r="E23" s="2170">
        <f>$O$233</f>
        <v>2</v>
      </c>
      <c r="F23" s="4037" t="str">
        <f>$A$248</f>
        <v>Terell Brown is a certified minority (disadvantaged) business owner who will have a 20% interest in the project and has and will continue to participate in every aspect of the development and operation of the project.</v>
      </c>
      <c r="G23" s="3876"/>
      <c r="H23" s="3876"/>
      <c r="I23" s="3876"/>
      <c r="J23" s="3876"/>
      <c r="K23" s="3876"/>
      <c r="L23" s="3876"/>
      <c r="M23" s="3876"/>
      <c r="N23" s="3876"/>
      <c r="O23" s="4038"/>
      <c r="P23" s="2162"/>
      <c r="Q23" s="4064"/>
      <c r="R23" s="4004"/>
      <c r="S23" s="4004"/>
    </row>
    <row r="24" spans="1:35" s="2121" customFormat="1" ht="14.45" customHeight="1">
      <c r="A24" s="2164" t="s">
        <v>3367</v>
      </c>
      <c r="B24" s="2173" t="s">
        <v>6553</v>
      </c>
      <c r="C24" s="2174"/>
      <c r="D24" s="2175"/>
      <c r="E24" s="2165">
        <f>$O$253</f>
        <v>2</v>
      </c>
      <c r="F24" s="4058" t="str">
        <f>$A$257</f>
        <v>The Owner commits to utilizing a CORES certified 3rd Party Contractor should one become available.  It should be noted that Solutions for Veterans is designated as the Lead Service Coordinator through the VA and has met the Quality Standards for Supportive Housing issued by the Corporation for Supportive Housing.</v>
      </c>
      <c r="G24" s="4059"/>
      <c r="H24" s="4059"/>
      <c r="I24" s="4059"/>
      <c r="J24" s="4059"/>
      <c r="K24" s="4059"/>
      <c r="L24" s="4059"/>
      <c r="M24" s="4059"/>
      <c r="N24" s="4059"/>
      <c r="O24" s="4060"/>
      <c r="P24" s="2162"/>
      <c r="Q24" s="4064"/>
      <c r="R24" s="4004"/>
      <c r="S24" s="4004"/>
    </row>
    <row r="25" spans="1:35" s="2121" customFormat="1" ht="14.45" customHeight="1">
      <c r="A25" s="2151" t="s">
        <v>3371</v>
      </c>
      <c r="B25" s="2157" t="s">
        <v>3395</v>
      </c>
      <c r="C25" s="2158"/>
      <c r="D25" s="2159"/>
      <c r="E25" s="2170">
        <f>$O$271</f>
        <v>0</v>
      </c>
      <c r="F25" s="4037" t="str">
        <f>$A$275</f>
        <v>Not Applicable</v>
      </c>
      <c r="G25" s="3876"/>
      <c r="H25" s="3876"/>
      <c r="I25" s="3876"/>
      <c r="J25" s="3876"/>
      <c r="K25" s="3876"/>
      <c r="L25" s="3876"/>
      <c r="M25" s="3876"/>
      <c r="N25" s="3876"/>
      <c r="O25" s="4038"/>
      <c r="P25" s="2162"/>
      <c r="Q25" s="4064"/>
      <c r="R25" s="4004"/>
      <c r="S25" s="4004"/>
    </row>
    <row r="26" spans="1:35" s="2121" customFormat="1" ht="14.45" customHeight="1">
      <c r="A26" s="2151" t="s">
        <v>3374</v>
      </c>
      <c r="B26" s="2157" t="s">
        <v>3396</v>
      </c>
      <c r="C26" s="2158"/>
      <c r="D26" s="2159"/>
      <c r="E26" s="2170">
        <f>$O$280</f>
        <v>4</v>
      </c>
      <c r="F26" s="4037" t="str">
        <f>$A$307</f>
        <v>Within the body of the Site Control Letter is reference to the Lease tenure (75 years), the no-cost aspect of the Lease and the willingness of the VA to enter into the LURC restricting the Leasehold interest of the VA.  The project has commitments for federal and state historic tax credits accompanied by Part 2 and Part A certifications.</v>
      </c>
      <c r="G26" s="3876"/>
      <c r="H26" s="3876"/>
      <c r="I26" s="3876"/>
      <c r="J26" s="3876"/>
      <c r="K26" s="3876"/>
      <c r="L26" s="3876"/>
      <c r="M26" s="3876"/>
      <c r="N26" s="3876"/>
      <c r="O26" s="4038"/>
      <c r="P26" s="2162"/>
      <c r="Q26" s="4064"/>
      <c r="R26" s="4004"/>
      <c r="S26" s="4004"/>
    </row>
    <row r="27" spans="1:35" s="2121" customFormat="1" ht="14.45" customHeight="1">
      <c r="A27" s="2151" t="s">
        <v>3375</v>
      </c>
      <c r="B27" s="2157" t="s">
        <v>3397</v>
      </c>
      <c r="C27" s="2158"/>
      <c r="D27" s="2159"/>
      <c r="E27" s="2169">
        <f>$O$312</f>
        <v>2</v>
      </c>
      <c r="F27" s="4037" t="str">
        <f>$A$318</f>
        <v>The project has received its Part 1, Part 2 and Part A certifications as well as commitment letters for Historic Tax Credit proceeds.</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3377</v>
      </c>
      <c r="B28" s="2178" t="s">
        <v>6634</v>
      </c>
      <c r="C28" s="2179"/>
      <c r="D28" s="2180"/>
      <c r="E28" s="2181">
        <f>$O$332</f>
        <v>3</v>
      </c>
      <c r="F28" s="4065" t="str">
        <f>$A$340</f>
        <v>The Project is designated Family, has ample 1 bedroom units that are not tied to PBV's to serve an 811 eligible population and the Owner is willing to accept any referrals through that program.</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3378</v>
      </c>
      <c r="B29" s="2157" t="s">
        <v>6130</v>
      </c>
      <c r="C29" s="2158"/>
      <c r="D29" s="2159"/>
      <c r="E29" s="2170">
        <f>$O$345</f>
        <v>0</v>
      </c>
      <c r="F29" s="4037" t="str">
        <f>$A$347</f>
        <v>Not Applicable</v>
      </c>
      <c r="G29" s="3876"/>
      <c r="H29" s="3876"/>
      <c r="I29" s="3876"/>
      <c r="J29" s="3876"/>
      <c r="K29" s="3876"/>
      <c r="L29" s="3876"/>
      <c r="M29" s="3876"/>
      <c r="N29" s="3876"/>
      <c r="O29" s="4038"/>
      <c r="P29" s="2162"/>
      <c r="Q29" s="2176"/>
      <c r="R29" s="2118"/>
      <c r="S29" s="2118"/>
    </row>
    <row r="30" spans="1:35" s="2121" customFormat="1" ht="14.45" customHeight="1">
      <c r="A30" s="2151" t="s">
        <v>3801</v>
      </c>
      <c r="B30" s="2157" t="s">
        <v>6551</v>
      </c>
      <c r="C30" s="2158"/>
      <c r="D30" s="2159"/>
      <c r="E30" s="2170">
        <f>$O$358</f>
        <v>0</v>
      </c>
      <c r="F30" s="4037" t="str">
        <f>$A$360</f>
        <v>Not Applicable</v>
      </c>
      <c r="G30" s="3876"/>
      <c r="H30" s="3876"/>
      <c r="I30" s="3876"/>
      <c r="J30" s="3876"/>
      <c r="K30" s="3876"/>
      <c r="L30" s="3876"/>
      <c r="M30" s="3876"/>
      <c r="N30" s="3876"/>
      <c r="O30" s="4038"/>
      <c r="P30" s="2162"/>
      <c r="Q30" s="2176"/>
    </row>
    <row r="31" spans="1:35" s="2121" customFormat="1" ht="14.45" customHeight="1">
      <c r="A31" s="2151" t="s">
        <v>6554</v>
      </c>
      <c r="B31" s="2157" t="s">
        <v>6552</v>
      </c>
      <c r="C31" s="2158"/>
      <c r="D31" s="2159"/>
      <c r="E31" s="2170">
        <f>$O$365</f>
        <v>0</v>
      </c>
      <c r="F31" s="4037" t="str">
        <f>$A$369</f>
        <v>Not Applicable</v>
      </c>
      <c r="G31" s="3876"/>
      <c r="H31" s="3876"/>
      <c r="I31" s="3876"/>
      <c r="J31" s="3876"/>
      <c r="K31" s="3876"/>
      <c r="L31" s="3876"/>
      <c r="M31" s="3876"/>
      <c r="N31" s="3876"/>
      <c r="O31" s="4038"/>
      <c r="P31" s="2455"/>
      <c r="Q31" s="2176"/>
    </row>
    <row r="32" spans="1:35" s="2121" customFormat="1" ht="14.45" customHeight="1">
      <c r="A32" s="2456" t="s">
        <v>6915</v>
      </c>
      <c r="B32" s="2178" t="s">
        <v>6933</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6947</v>
      </c>
      <c r="B34" s="3848"/>
      <c r="C34" s="3848"/>
      <c r="D34" s="3848"/>
      <c r="E34" s="4083" t="str">
        <f>IF(OR((C36-A36&gt;0),(D36-A36&gt;0)),"Points Exceed Max!","")</f>
        <v/>
      </c>
      <c r="F34" s="3918" t="s">
        <v>6879</v>
      </c>
      <c r="G34" s="3919"/>
      <c r="H34" s="3919"/>
      <c r="I34" s="3920"/>
      <c r="J34" s="4068" t="s">
        <v>6138</v>
      </c>
      <c r="K34" s="4069"/>
      <c r="L34" s="4069"/>
      <c r="M34" s="4070"/>
      <c r="O34" s="3924" t="s">
        <v>6880</v>
      </c>
      <c r="P34" s="3924"/>
      <c r="Q34" s="2185"/>
    </row>
    <row r="35" spans="1:35" ht="13.5" customHeight="1">
      <c r="A35" s="4088" t="s">
        <v>6905</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6123</v>
      </c>
      <c r="G36" s="4032"/>
      <c r="H36" s="4032"/>
      <c r="I36" s="4033"/>
      <c r="J36" s="4074" t="s">
        <v>6099</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3803</v>
      </c>
      <c r="F42" s="2123"/>
      <c r="N42" s="2254"/>
      <c r="P42" s="2204">
        <f>SUM(P43:P45)</f>
        <v>0</v>
      </c>
    </row>
    <row r="43" spans="1:35">
      <c r="A43" s="2138"/>
      <c r="B43" s="2205" t="s">
        <v>1844</v>
      </c>
      <c r="C43" s="2121" t="s">
        <v>3806</v>
      </c>
      <c r="D43" s="2121"/>
      <c r="E43" s="2121"/>
      <c r="F43" s="2123"/>
      <c r="H43" s="2121"/>
      <c r="J43" s="2141"/>
      <c r="N43" s="2214"/>
      <c r="O43" s="2120"/>
      <c r="P43" s="2206">
        <f>F51</f>
        <v>0</v>
      </c>
    </row>
    <row r="44" spans="1:35">
      <c r="A44" s="2138"/>
      <c r="B44" s="2205" t="s">
        <v>1846</v>
      </c>
      <c r="C44" s="2121" t="s">
        <v>6871</v>
      </c>
      <c r="D44" s="2121"/>
      <c r="E44" s="2121"/>
      <c r="F44" s="2123"/>
      <c r="H44" s="2121"/>
      <c r="J44" s="2141"/>
      <c r="N44" s="2214"/>
      <c r="O44" s="2120"/>
      <c r="P44" s="2207">
        <f>J51</f>
        <v>0</v>
      </c>
    </row>
    <row r="45" spans="1:35">
      <c r="A45" s="2138"/>
      <c r="B45" s="2205" t="s">
        <v>2332</v>
      </c>
      <c r="C45" s="2121" t="s">
        <v>3805</v>
      </c>
      <c r="D45" s="2121"/>
      <c r="E45" s="2121"/>
      <c r="F45" s="2123"/>
      <c r="H45" s="2121"/>
      <c r="J45" s="2141"/>
      <c r="N45" s="2214"/>
      <c r="O45" s="2120"/>
      <c r="P45" s="2208"/>
    </row>
    <row r="46" spans="1:35">
      <c r="C46" s="3870" t="s">
        <v>6843</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6872</v>
      </c>
      <c r="B50" s="3922"/>
      <c r="C50" s="3922"/>
      <c r="D50" s="3922"/>
      <c r="E50" s="3922"/>
      <c r="F50" s="2216" t="s">
        <v>3178</v>
      </c>
      <c r="G50" s="3922" t="s">
        <v>6873</v>
      </c>
      <c r="H50" s="3922"/>
      <c r="I50" s="3922"/>
      <c r="J50" s="2216" t="s">
        <v>3178</v>
      </c>
      <c r="K50" s="4090" t="s">
        <v>6874</v>
      </c>
      <c r="L50" s="4090"/>
      <c r="M50" s="4090"/>
      <c r="N50" s="4090"/>
      <c r="O50" s="3858" t="s">
        <v>3178</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3</v>
      </c>
      <c r="P66" s="2202">
        <f>IF($F$36="New Supply",MIN($M$66,P68+P72),0)</f>
        <v>0</v>
      </c>
      <c r="Q66" s="2203" t="s">
        <v>416</v>
      </c>
      <c r="S66" s="2227"/>
    </row>
    <row r="67" spans="1:19" ht="15.95" hidden="1" customHeight="1">
      <c r="A67" s="2228"/>
      <c r="B67" s="2229"/>
      <c r="E67" s="2121"/>
      <c r="F67" s="2120" t="s">
        <v>3816</v>
      </c>
      <c r="G67" s="2227"/>
      <c r="H67" s="2121"/>
      <c r="I67" s="2143"/>
      <c r="K67" s="2230"/>
      <c r="L67" s="2231"/>
      <c r="M67" s="2124"/>
      <c r="N67" s="2123"/>
      <c r="O67" s="2133"/>
      <c r="P67" s="2133"/>
      <c r="Q67" s="2203"/>
      <c r="R67" s="2232"/>
    </row>
    <row r="68" spans="1:19" s="2121" customFormat="1" ht="15.95" customHeight="1">
      <c r="A68" s="2138" t="s">
        <v>1841</v>
      </c>
      <c r="B68" s="2233" t="s">
        <v>6875</v>
      </c>
      <c r="C68" s="2255"/>
      <c r="D68" s="2255"/>
      <c r="E68" s="2255"/>
      <c r="F68" s="2255"/>
      <c r="G68" s="2120" t="s">
        <v>6644</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3811</v>
      </c>
      <c r="G69" s="2121" t="s">
        <v>3812</v>
      </c>
      <c r="I69" s="2238"/>
      <c r="J69" s="2239">
        <f>'Part V-Revenues &amp; Expenses'!$B$50</f>
        <v>57.678571428571431</v>
      </c>
      <c r="L69" s="2185"/>
      <c r="M69" s="2123">
        <v>2</v>
      </c>
      <c r="N69" s="2377"/>
      <c r="O69" s="2240"/>
      <c r="P69" s="2241"/>
      <c r="Q69" s="2242" t="str">
        <f>IF(OR($O69=$M69,$O69=0,$O69=""),"","*CHECK!*")</f>
        <v/>
      </c>
      <c r="R69" s="2305"/>
    </row>
    <row r="70" spans="1:19" s="2121" customFormat="1" ht="15.95" customHeight="1">
      <c r="A70" s="2235"/>
      <c r="B70" s="2332"/>
      <c r="C70" s="2237" t="s">
        <v>3813</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6878</v>
      </c>
      <c r="G72" s="2186" t="s">
        <v>6844</v>
      </c>
      <c r="I72" s="2410"/>
      <c r="J72" s="2245">
        <f>IF(OR('Part V-Revenues &amp; Expenses'!$P$65="", 'Part V-Revenues &amp; Expenses'!$P$65=0),0,'Part V-Revenues &amp; Expenses'!$P$100/'Part V-Revenues &amp; Expenses'!$P$65)</f>
        <v>0.32894736842105265</v>
      </c>
      <c r="M72" s="2124">
        <v>3</v>
      </c>
      <c r="N72" s="2310"/>
      <c r="O72" s="2308">
        <v>3</v>
      </c>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3366</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60" customHeight="1" thickTop="1" thickBot="1">
      <c r="A81" s="3867" t="s">
        <v>7092</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3</v>
      </c>
      <c r="P86" s="2266">
        <f>IF($F$36="New Supply",MAX(P94,P97),0)</f>
        <v>0</v>
      </c>
      <c r="Q86" s="2203" t="s">
        <v>416</v>
      </c>
      <c r="R86" s="2267"/>
      <c r="S86" s="2271" t="s">
        <v>6262</v>
      </c>
      <c r="T86" s="2271" t="s">
        <v>6143</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3325</v>
      </c>
      <c r="F88" s="4016" t="s">
        <v>3215</v>
      </c>
      <c r="G88" s="4016"/>
      <c r="H88" s="4016"/>
      <c r="I88" s="4016"/>
      <c r="J88" s="4016" t="s">
        <v>3216</v>
      </c>
      <c r="K88" s="4016"/>
      <c r="L88" s="4016"/>
      <c r="M88" s="4016"/>
      <c r="N88" s="2254"/>
      <c r="O88" s="3860" t="s">
        <v>6845</v>
      </c>
      <c r="P88" s="3860"/>
      <c r="R88" s="2157"/>
      <c r="S88" s="2275">
        <v>0.5</v>
      </c>
      <c r="T88" s="2275">
        <v>4.5</v>
      </c>
      <c r="U88" s="2267"/>
    </row>
    <row r="89" spans="1:21" ht="15.95" customHeight="1">
      <c r="B89" s="2272"/>
      <c r="C89" s="2420" t="s">
        <v>6846</v>
      </c>
      <c r="F89" s="4008">
        <v>33.467469999999999</v>
      </c>
      <c r="G89" s="4009"/>
      <c r="H89" s="4010"/>
      <c r="I89" s="4011"/>
      <c r="J89" s="4008">
        <v>-82.025873000000004</v>
      </c>
      <c r="K89" s="4009"/>
      <c r="L89" s="4010"/>
      <c r="M89" s="4011"/>
      <c r="N89" s="2120"/>
      <c r="O89" s="3861"/>
      <c r="P89" s="3861"/>
      <c r="R89" s="2274" t="s">
        <v>6669</v>
      </c>
      <c r="S89" s="2280">
        <v>1</v>
      </c>
      <c r="T89" s="2280">
        <v>4</v>
      </c>
      <c r="U89" s="2267"/>
    </row>
    <row r="90" spans="1:21" ht="15.95" customHeight="1">
      <c r="A90" s="2272"/>
      <c r="B90" s="2158"/>
      <c r="C90" s="2420" t="s">
        <v>6847</v>
      </c>
      <c r="F90" s="4012">
        <v>33.468510000000002</v>
      </c>
      <c r="G90" s="4013"/>
      <c r="H90" s="4014"/>
      <c r="I90" s="4015"/>
      <c r="J90" s="4012">
        <v>-82.025580000000005</v>
      </c>
      <c r="K90" s="4013"/>
      <c r="L90" s="4014"/>
      <c r="M90" s="4015"/>
      <c r="N90" s="2254"/>
      <c r="O90" s="2276">
        <v>0.1</v>
      </c>
      <c r="P90" s="2277"/>
      <c r="R90" s="2278"/>
      <c r="S90" s="2281">
        <v>0.25</v>
      </c>
      <c r="T90" s="2281">
        <v>3</v>
      </c>
      <c r="U90" s="2267"/>
    </row>
    <row r="91" spans="1:21" ht="15.95" customHeight="1">
      <c r="A91" s="2158"/>
      <c r="B91" s="4005" t="s">
        <v>6884</v>
      </c>
      <c r="C91" s="4005"/>
      <c r="D91" s="4005"/>
      <c r="E91" s="4005"/>
      <c r="F91" s="2139" t="s">
        <v>6848</v>
      </c>
      <c r="G91" s="4007" t="s">
        <v>1672</v>
      </c>
      <c r="H91" s="4007"/>
      <c r="I91" s="4007"/>
      <c r="J91" s="4007" t="s">
        <v>6881</v>
      </c>
      <c r="K91" s="4007"/>
      <c r="L91" s="4007"/>
      <c r="M91" s="4007"/>
      <c r="N91" s="4007"/>
      <c r="O91" s="4007"/>
      <c r="P91" s="4007"/>
      <c r="R91" s="2279"/>
      <c r="S91" s="2275">
        <v>0.5</v>
      </c>
      <c r="T91" s="2275">
        <v>2</v>
      </c>
      <c r="U91" s="2267"/>
    </row>
    <row r="92" spans="1:21" ht="15.95" customHeight="1">
      <c r="A92" s="2158"/>
      <c r="B92" s="3928" t="s">
        <v>7093</v>
      </c>
      <c r="C92" s="3928"/>
      <c r="D92" s="3928"/>
      <c r="E92" s="3928"/>
      <c r="F92" s="2416">
        <v>7068211719</v>
      </c>
      <c r="G92" s="4006" t="s">
        <v>7095</v>
      </c>
      <c r="H92" s="4006"/>
      <c r="I92" s="4006"/>
      <c r="J92" s="4006" t="s">
        <v>7094</v>
      </c>
      <c r="K92" s="4006"/>
      <c r="L92" s="4006"/>
      <c r="M92" s="4006"/>
      <c r="N92" s="4006"/>
      <c r="O92" s="4006"/>
      <c r="P92" s="4006"/>
      <c r="R92" s="2274" t="s">
        <v>6670</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6876</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6877</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6849</v>
      </c>
      <c r="D98" s="2255"/>
      <c r="E98" s="2255"/>
      <c r="F98" s="2255"/>
      <c r="G98" s="2255"/>
      <c r="H98" s="2255"/>
      <c r="I98" s="2255"/>
      <c r="J98" s="2293"/>
      <c r="K98" s="2293"/>
      <c r="L98" s="2293"/>
      <c r="M98" s="2123">
        <v>3</v>
      </c>
      <c r="N98" s="2144"/>
      <c r="O98" s="2294">
        <v>3</v>
      </c>
      <c r="P98" s="2295"/>
      <c r="U98" s="2157"/>
    </row>
    <row r="99" spans="1:21" ht="15.95" customHeight="1">
      <c r="A99" s="2210" t="s">
        <v>1275</v>
      </c>
      <c r="B99" s="2292" t="s">
        <v>1846</v>
      </c>
      <c r="C99" s="2121" t="s">
        <v>6883</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6882</v>
      </c>
      <c r="D100" s="3876"/>
      <c r="E100" s="3876"/>
      <c r="F100" s="3876"/>
      <c r="G100" s="3876"/>
      <c r="H100" s="3876"/>
      <c r="I100" s="3876"/>
      <c r="J100" s="3876"/>
      <c r="K100" s="3876"/>
      <c r="L100" s="3876"/>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15.95" customHeight="1" thickTop="1" thickBot="1">
      <c r="A102" s="3867" t="s">
        <v>7073</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6147</v>
      </c>
      <c r="C106" s="2161"/>
      <c r="D106" s="2161"/>
      <c r="E106" s="2161"/>
      <c r="G106" s="2124"/>
      <c r="H106" s="2305"/>
      <c r="M106" s="2124">
        <v>3</v>
      </c>
      <c r="N106" s="2250"/>
      <c r="O106" s="2446">
        <v>1</v>
      </c>
      <c r="P106" s="2447"/>
      <c r="Q106" s="2242" t="str">
        <f>IF(OR($O106&lt;=$M106,$O106=0,$O106=""),"","*CHECK!*")</f>
        <v/>
      </c>
      <c r="R106" s="2303" t="s">
        <v>416</v>
      </c>
      <c r="S106" s="2305"/>
    </row>
    <row r="107" spans="1:21" ht="23.25" customHeight="1">
      <c r="B107" s="2434"/>
      <c r="C107" s="2434"/>
      <c r="D107" s="2434"/>
      <c r="E107" s="2433"/>
      <c r="F107" s="3864" t="s">
        <v>6907</v>
      </c>
      <c r="G107" s="3864"/>
      <c r="H107" s="3864" t="s">
        <v>6908</v>
      </c>
      <c r="I107" s="3864"/>
      <c r="J107" s="3998" t="s">
        <v>6934</v>
      </c>
      <c r="K107" s="3999"/>
      <c r="L107" s="3862" t="s">
        <v>6887</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6628</v>
      </c>
      <c r="C109" s="2436"/>
      <c r="D109" s="2433"/>
      <c r="E109" s="2433"/>
      <c r="F109" s="3865"/>
      <c r="G109" s="3865"/>
      <c r="H109" s="3865"/>
      <c r="I109" s="3865"/>
      <c r="J109" s="4002"/>
      <c r="K109" s="4003"/>
      <c r="L109" s="3865"/>
      <c r="M109" s="3865"/>
      <c r="N109" s="3865"/>
      <c r="O109" s="3866"/>
      <c r="P109" s="2304"/>
    </row>
    <row r="110" spans="1:21" ht="15.95" customHeight="1">
      <c r="B110" s="3986" t="s">
        <v>7074</v>
      </c>
      <c r="C110" s="3987"/>
      <c r="D110" s="3987"/>
      <c r="E110" s="3988"/>
      <c r="F110" s="3996" t="s">
        <v>7075</v>
      </c>
      <c r="G110" s="3997"/>
      <c r="H110" s="3996" t="s">
        <v>2649</v>
      </c>
      <c r="I110" s="3997"/>
      <c r="J110" s="3855" t="s">
        <v>7075</v>
      </c>
      <c r="K110" s="3857"/>
      <c r="L110" s="3855" t="s">
        <v>7075</v>
      </c>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67" t="s">
        <v>7076</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3338</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6175</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5" customHeight="1">
      <c r="A124" s="2203"/>
      <c r="C124" s="2121" t="s">
        <v>6850</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6885</v>
      </c>
      <c r="D125" s="2157"/>
      <c r="E125" s="2157"/>
      <c r="F125" s="2157"/>
      <c r="G125" s="2157"/>
      <c r="H125" s="2157"/>
      <c r="I125" s="2157"/>
      <c r="J125" s="2157"/>
      <c r="K125" s="2157"/>
      <c r="L125" s="2310"/>
      <c r="M125" s="3986" t="s">
        <v>7096</v>
      </c>
      <c r="N125" s="3987"/>
      <c r="O125" s="3987"/>
      <c r="P125" s="3988"/>
      <c r="S125" s="2118"/>
      <c r="T125" s="2118"/>
      <c r="U125" s="2118"/>
    </row>
    <row r="126" spans="1:21" s="2121" customFormat="1" ht="15.95" customHeight="1">
      <c r="B126" s="2254"/>
      <c r="C126" s="2121" t="s">
        <v>6851</v>
      </c>
      <c r="L126" s="2254"/>
      <c r="M126" s="3980" t="s">
        <v>7097</v>
      </c>
      <c r="N126" s="3981"/>
      <c r="O126" s="3981"/>
      <c r="P126" s="3982"/>
      <c r="S126" s="2118"/>
      <c r="T126" s="2118"/>
      <c r="U126" s="2118"/>
    </row>
    <row r="127" spans="1:21" s="2121" customFormat="1" ht="15.95" customHeight="1">
      <c r="B127" s="2254"/>
      <c r="C127" s="2121" t="s">
        <v>6852</v>
      </c>
      <c r="L127" s="2254"/>
      <c r="M127" s="3980" t="s">
        <v>7098</v>
      </c>
      <c r="N127" s="3981"/>
      <c r="O127" s="3981"/>
      <c r="P127" s="3982"/>
      <c r="Q127" s="2312">
        <f>IF(K127="Yes",1,0)</f>
        <v>0</v>
      </c>
      <c r="S127" s="2118"/>
      <c r="T127" s="2118"/>
      <c r="U127" s="2118"/>
    </row>
    <row r="128" spans="1:21" s="2121" customFormat="1" ht="15.95" customHeight="1">
      <c r="A128" s="2254"/>
      <c r="B128" s="2254"/>
      <c r="C128" s="2121" t="s">
        <v>6853</v>
      </c>
      <c r="L128" s="2254"/>
      <c r="M128" s="3980" t="s">
        <v>7099</v>
      </c>
      <c r="N128" s="3981"/>
      <c r="O128" s="3981"/>
      <c r="P128" s="3982"/>
      <c r="Q128" s="2312">
        <f>IF(K128="Yes",1,0)</f>
        <v>0</v>
      </c>
      <c r="S128" s="2118"/>
      <c r="T128" s="2118"/>
      <c r="U128" s="2118"/>
    </row>
    <row r="129" spans="1:22" s="2121" customFormat="1" ht="15.95" customHeight="1">
      <c r="A129" s="2254"/>
      <c r="B129" s="2254"/>
      <c r="C129" s="2121" t="s">
        <v>6890</v>
      </c>
      <c r="L129" s="2254"/>
      <c r="M129" s="3983" t="s">
        <v>7102</v>
      </c>
      <c r="N129" s="3984"/>
      <c r="O129" s="3984"/>
      <c r="P129" s="3985"/>
      <c r="Q129" s="2312"/>
      <c r="S129" s="2118"/>
      <c r="T129" s="2118"/>
      <c r="U129" s="2118"/>
      <c r="V129" s="2312"/>
    </row>
    <row r="130" spans="1:22" ht="15.95" customHeight="1">
      <c r="A130" s="2311"/>
      <c r="B130" s="2307" t="s">
        <v>1844</v>
      </c>
      <c r="C130" s="2233" t="s">
        <v>6889</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1846</v>
      </c>
      <c r="C131" s="2233" t="s">
        <v>6250</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6854</v>
      </c>
      <c r="D132" s="3876"/>
      <c r="E132" s="3876"/>
      <c r="F132" s="3876"/>
      <c r="G132" s="3876"/>
      <c r="H132" s="3876"/>
      <c r="I132" s="3876"/>
      <c r="J132" s="3876"/>
      <c r="K132" s="3876"/>
      <c r="L132" s="3876"/>
      <c r="M132" s="2286">
        <v>1</v>
      </c>
      <c r="N132" s="2310"/>
      <c r="O132" s="2314">
        <v>1</v>
      </c>
      <c r="P132" s="2315"/>
      <c r="Q132" s="2242" t="str">
        <f>IF(OR($O132=$M132,$O132=0,$O132=""),"","*CHECK!*")</f>
        <v/>
      </c>
      <c r="R132" s="2305"/>
    </row>
    <row r="133" spans="1:22" ht="30.75" customHeight="1">
      <c r="A133" s="2235"/>
      <c r="B133" s="2310"/>
      <c r="C133" s="3876" t="s">
        <v>6898</v>
      </c>
      <c r="D133" s="3876"/>
      <c r="E133" s="3876"/>
      <c r="F133" s="3876"/>
      <c r="G133" s="3876"/>
      <c r="H133" s="3876"/>
      <c r="I133" s="3876"/>
      <c r="J133" s="3876"/>
      <c r="K133" s="3876"/>
      <c r="L133" s="3876"/>
      <c r="M133" s="2286">
        <v>1</v>
      </c>
      <c r="N133" s="2310"/>
      <c r="O133" s="2316">
        <v>1</v>
      </c>
      <c r="P133" s="2317"/>
      <c r="Q133" s="2242" t="str">
        <f>IF(OR($O133=$M133,$O133=0,$O133=""),"","*CHECK!*")</f>
        <v/>
      </c>
      <c r="R133" s="2305"/>
    </row>
    <row r="134" spans="1:22" ht="15.95" customHeight="1">
      <c r="A134" s="2235"/>
      <c r="B134" s="2230"/>
      <c r="C134" s="2120" t="s">
        <v>6855</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5" customHeight="1">
      <c r="A135" s="2138" t="s">
        <v>1843</v>
      </c>
      <c r="B135" s="2131" t="s">
        <v>3820</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3240</v>
      </c>
      <c r="M136" s="2123"/>
      <c r="N136" s="2123"/>
      <c r="O136" s="2133"/>
      <c r="P136" s="2124"/>
    </row>
    <row r="137" spans="1:22" ht="29.25" customHeight="1" thickTop="1" thickBot="1">
      <c r="A137" s="3867" t="s">
        <v>7122</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3339</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6251</v>
      </c>
      <c r="C143" s="2161"/>
      <c r="D143" s="2161"/>
      <c r="E143" s="2161"/>
      <c r="F143" s="2161"/>
      <c r="G143" s="2161"/>
      <c r="H143" s="2161"/>
      <c r="L143" s="2322"/>
      <c r="M143" s="2124"/>
      <c r="N143" s="2250"/>
      <c r="O143" s="2251"/>
      <c r="P143" s="2323"/>
      <c r="Q143" s="2203"/>
      <c r="R143" s="2305"/>
    </row>
    <row r="144" spans="1:22" ht="15.95" customHeight="1">
      <c r="A144" s="2142"/>
      <c r="B144" s="2121" t="s">
        <v>3672</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6897</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7" t="s">
        <v>7059</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3821</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6253</v>
      </c>
      <c r="D154" s="2121"/>
      <c r="E154" s="2143"/>
      <c r="F154" s="2143"/>
      <c r="G154" s="2121"/>
      <c r="H154" s="2121"/>
      <c r="I154" s="2121"/>
      <c r="J154" s="3972" t="s">
        <v>3204</v>
      </c>
      <c r="K154" s="3973"/>
      <c r="L154" s="3974" t="s">
        <v>3204</v>
      </c>
      <c r="M154" s="3975"/>
      <c r="N154" s="2123"/>
      <c r="R154" s="2203"/>
      <c r="S154" s="2121"/>
    </row>
    <row r="155" spans="1:27" ht="15.95" customHeight="1">
      <c r="C155" s="2331" t="s">
        <v>6891</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6212</v>
      </c>
      <c r="K157" s="2254"/>
      <c r="L157" s="2254"/>
      <c r="M157" s="2123">
        <v>4</v>
      </c>
      <c r="N157" s="2254"/>
      <c r="O157" s="2308"/>
      <c r="P157" s="2309"/>
      <c r="Q157" s="2242" t="str">
        <f>IF(O157&lt;=M157,"","*CHECK!*")</f>
        <v/>
      </c>
      <c r="R157" s="2305"/>
      <c r="S157" s="2118"/>
      <c r="T157" s="2118"/>
      <c r="U157" s="2118"/>
    </row>
    <row r="158" spans="1:27" ht="15.95" customHeight="1">
      <c r="C158" s="2333" t="s">
        <v>6218</v>
      </c>
      <c r="E158" s="3979" t="s">
        <v>6217</v>
      </c>
      <c r="F158" s="3979"/>
      <c r="G158" s="3979"/>
      <c r="H158" s="3979"/>
      <c r="I158" s="2139" t="s">
        <v>6892</v>
      </c>
      <c r="J158" s="3979" t="s">
        <v>6217</v>
      </c>
      <c r="K158" s="3979"/>
      <c r="L158" s="3979"/>
      <c r="M158" s="3979"/>
      <c r="N158" s="2120"/>
      <c r="O158" s="2120"/>
      <c r="P158" s="2120"/>
    </row>
    <row r="159" spans="1:27" ht="15.95" customHeight="1">
      <c r="C159" s="2121" t="s">
        <v>6216</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6213</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6214</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7" t="s">
        <v>7059</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4033</v>
      </c>
      <c r="G171" s="2123" t="s">
        <v>3152</v>
      </c>
      <c r="H171" s="2339">
        <f>IF('Part V-Revenues &amp; Expenses'!$P$67=0,0,'Part V-Revenues &amp; Expenses'!$P$64/'Part V-Revenues &amp; Expenses'!$P$67)</f>
        <v>0.26315789473684209</v>
      </c>
      <c r="K171" s="3964" t="str">
        <f>'Part V-Revenues &amp; Expenses'!$O$53</f>
        <v>40% of Units at 60% of AMI</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3956</v>
      </c>
      <c r="M172" s="2123">
        <v>1</v>
      </c>
      <c r="N172" s="2254"/>
      <c r="O172" s="2314">
        <v>1</v>
      </c>
      <c r="P172" s="2315"/>
      <c r="Q172" s="2320" t="str">
        <f>IF(OR($O172=$M172,$O172=0,$O172=""),"","*CHECK!*")</f>
        <v/>
      </c>
      <c r="R172" s="2305"/>
    </row>
    <row r="173" spans="1:27" ht="15.95" customHeight="1">
      <c r="A173" s="2124" t="s">
        <v>1843</v>
      </c>
      <c r="B173" s="2227" t="s">
        <v>3811</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3340</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6"/>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7059</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4035</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6255</v>
      </c>
      <c r="C190" s="2157"/>
      <c r="D190" s="2157"/>
      <c r="E190" s="2157"/>
      <c r="F190" s="2157"/>
      <c r="G190" s="2139" t="s">
        <v>6856</v>
      </c>
      <c r="H190" s="3848" t="s">
        <v>574</v>
      </c>
      <c r="I190" s="3848"/>
      <c r="J190" s="3848"/>
      <c r="K190" s="3957" t="s">
        <v>6930</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6256</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6257</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7" t="s">
        <v>7059</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3959</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v>3</v>
      </c>
      <c r="P202" s="2241"/>
      <c r="Q202" s="2320" t="str">
        <f>IF(OR($O202=$M202,$O202=$M202-1,$O202=0,$O202=""),"","*CHECK!*")</f>
        <v/>
      </c>
      <c r="R202" s="2305"/>
    </row>
    <row r="203" spans="1:24" ht="15.95" customHeight="1">
      <c r="A203" s="2138" t="s">
        <v>698</v>
      </c>
      <c r="B203" s="2131" t="s">
        <v>6937</v>
      </c>
      <c r="G203" s="2226" t="s">
        <v>6228</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33" customHeight="1" thickTop="1" thickBot="1">
      <c r="A205" s="3867" t="s">
        <v>7123</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6611</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6612</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6613</v>
      </c>
      <c r="D214" s="2282"/>
      <c r="E214" s="2282"/>
      <c r="G214" s="2120"/>
      <c r="K214" s="2254"/>
      <c r="M214" s="2123">
        <v>1</v>
      </c>
      <c r="N214" s="2377"/>
      <c r="O214" s="2246"/>
      <c r="P214" s="2247"/>
      <c r="R214" s="2120"/>
      <c r="T214" s="2355"/>
      <c r="U214" s="2355"/>
    </row>
    <row r="215" spans="1:22" ht="15.95" customHeight="1">
      <c r="A215" s="2138" t="s">
        <v>1843</v>
      </c>
      <c r="B215" s="2131" t="s">
        <v>3951</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6893</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3823</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6939</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3368</v>
      </c>
      <c r="B223" s="2143" t="s">
        <v>6571</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6857</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6894</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7059</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3369</v>
      </c>
      <c r="B233" s="2143" t="s">
        <v>6576</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6895</v>
      </c>
      <c r="D234" s="2143"/>
      <c r="E234" s="2143"/>
      <c r="J234" s="2361"/>
      <c r="M234" s="2210"/>
      <c r="O234" s="3942" t="s">
        <v>6896</v>
      </c>
      <c r="P234" s="3942" t="s">
        <v>3150</v>
      </c>
      <c r="Q234" s="2203"/>
      <c r="R234" s="2118"/>
      <c r="S234" s="2118"/>
      <c r="T234" s="2118"/>
      <c r="U234" s="2118"/>
      <c r="V234" s="2118"/>
      <c r="W234" s="2120"/>
      <c r="X234" s="2120"/>
    </row>
    <row r="235" spans="1:24" s="2121" customFormat="1" ht="15.95" customHeight="1">
      <c r="A235" s="2142"/>
      <c r="C235" s="2121" t="s">
        <v>6691</v>
      </c>
      <c r="I235" s="3932" t="s">
        <v>7077</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6690</v>
      </c>
      <c r="I236" s="3934">
        <v>531390</v>
      </c>
      <c r="J236" s="3935"/>
      <c r="M236" s="2210"/>
      <c r="O236" s="3864"/>
      <c r="P236" s="3864"/>
      <c r="Q236" s="2203"/>
      <c r="R236" s="2118"/>
      <c r="S236" s="2118"/>
      <c r="T236" s="2118"/>
      <c r="U236" s="2118"/>
      <c r="V236" s="2118"/>
      <c r="W236" s="2120"/>
      <c r="X236" s="2120"/>
    </row>
    <row r="237" spans="1:24" s="2121" customFormat="1" ht="15.95" customHeight="1">
      <c r="A237" s="2142"/>
      <c r="C237" s="2121" t="s">
        <v>6692</v>
      </c>
      <c r="I237" s="3939" t="s">
        <v>7100</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6858</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6577</v>
      </c>
      <c r="D241" s="2184"/>
      <c r="E241" s="2184"/>
      <c r="G241" s="2184" t="s">
        <v>6585</v>
      </c>
      <c r="H241" s="2184"/>
      <c r="L241" s="2184"/>
      <c r="M241" s="2139">
        <v>2</v>
      </c>
      <c r="N241" s="2254"/>
      <c r="O241" s="2363"/>
      <c r="P241" s="2321"/>
      <c r="Q241" s="2364" t="str">
        <f>IF(OR(O241=0,O241="",O241=$M241),"","Check!")</f>
        <v/>
      </c>
      <c r="R241" s="2305"/>
      <c r="S241" s="2118"/>
      <c r="T241" s="2118"/>
      <c r="U241" s="2118"/>
      <c r="V241" s="2118"/>
    </row>
    <row r="242" spans="1:22" s="2157" customFormat="1" ht="29.25" customHeight="1">
      <c r="A242" s="2365"/>
      <c r="B242" s="2285"/>
      <c r="C242" s="3876" t="s">
        <v>6586</v>
      </c>
      <c r="D242" s="3876"/>
      <c r="E242" s="3876"/>
      <c r="F242" s="3876"/>
      <c r="G242" s="3876"/>
      <c r="H242" s="3876"/>
      <c r="I242" s="3876"/>
      <c r="J242" s="3876"/>
      <c r="K242" s="3876"/>
      <c r="L242" s="3876"/>
      <c r="M242" s="3876"/>
      <c r="N242" s="2377"/>
      <c r="O242" s="2256"/>
      <c r="P242" s="2257"/>
      <c r="Q242" s="2366"/>
      <c r="R242" s="2367"/>
      <c r="S242" s="2367"/>
      <c r="T242" s="2367"/>
      <c r="U242" s="2367"/>
    </row>
    <row r="243" spans="1:22" s="2157" customFormat="1" ht="29.25" customHeight="1" thickBot="1">
      <c r="A243" s="2365"/>
      <c r="B243" s="2285"/>
      <c r="C243" s="3876" t="s">
        <v>6859</v>
      </c>
      <c r="D243" s="3876"/>
      <c r="E243" s="3876"/>
      <c r="F243" s="3876"/>
      <c r="G243" s="3876"/>
      <c r="H243" s="3876"/>
      <c r="I243" s="3876"/>
      <c r="J243" s="3876"/>
      <c r="K243" s="3876"/>
      <c r="L243" s="3876"/>
      <c r="M243" s="3876"/>
      <c r="N243" s="2377"/>
      <c r="O243" s="2325"/>
      <c r="P243" s="2326"/>
      <c r="Q243" s="2366"/>
      <c r="R243" s="2367"/>
      <c r="S243" s="2367"/>
      <c r="T243" s="2367"/>
      <c r="U243" s="2367"/>
    </row>
    <row r="244" spans="1:22" ht="15.95" customHeight="1" thickBot="1">
      <c r="A244" s="2124" t="s">
        <v>1843</v>
      </c>
      <c r="B244" s="2341" t="s">
        <v>6578</v>
      </c>
      <c r="D244" s="2184"/>
      <c r="L244" s="2184"/>
      <c r="M244" s="2139">
        <v>2</v>
      </c>
      <c r="N244" s="2254"/>
      <c r="O244" s="2363">
        <v>2</v>
      </c>
      <c r="P244" s="2321"/>
      <c r="Q244" s="2364" t="str">
        <f>IF(OR(O244=0,O244="",O244=$M244),"","Check!")</f>
        <v/>
      </c>
      <c r="R244" s="2305"/>
      <c r="S244" s="2118"/>
      <c r="T244" s="2118"/>
      <c r="U244" s="2118"/>
      <c r="V244" s="2118"/>
    </row>
    <row r="245" spans="1:22" ht="15.95" customHeight="1">
      <c r="A245" s="2124"/>
      <c r="B245" s="2341"/>
      <c r="C245" s="2121" t="s">
        <v>6860</v>
      </c>
      <c r="D245" s="2184"/>
      <c r="L245" s="2184"/>
      <c r="M245" s="2139"/>
      <c r="N245" s="2254"/>
      <c r="O245" s="2256" t="s">
        <v>2649</v>
      </c>
      <c r="P245" s="2257"/>
      <c r="Q245" s="2364"/>
      <c r="R245" s="2305"/>
      <c r="S245" s="2118"/>
      <c r="T245" s="2118"/>
      <c r="U245" s="2118"/>
      <c r="V245" s="2118"/>
    </row>
    <row r="246" spans="1:22" s="2157" customFormat="1" ht="30" customHeight="1">
      <c r="A246" s="2365"/>
      <c r="B246" s="2285"/>
      <c r="C246" s="3876" t="s">
        <v>6935</v>
      </c>
      <c r="D246" s="3876"/>
      <c r="E246" s="3876"/>
      <c r="F246" s="3876"/>
      <c r="G246" s="3876"/>
      <c r="H246" s="3876"/>
      <c r="I246" s="3876"/>
      <c r="J246" s="3876"/>
      <c r="K246" s="3876"/>
      <c r="L246" s="3876"/>
      <c r="M246" s="3876"/>
      <c r="N246" s="2377"/>
      <c r="O246" s="2325" t="s">
        <v>2649</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31.5" customHeight="1" thickTop="1" thickBot="1">
      <c r="A248" s="3867" t="s">
        <v>7082</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3367</v>
      </c>
      <c r="B253" s="2143" t="s">
        <v>6582</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6583</v>
      </c>
      <c r="D254" s="2184"/>
      <c r="E254" s="2184" t="s">
        <v>6594</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6584</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37.5" customHeight="1" thickTop="1" thickBot="1">
      <c r="A257" s="3867" t="s">
        <v>7078</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3370</v>
      </c>
      <c r="B262" s="2143" t="s">
        <v>3341</v>
      </c>
      <c r="C262" s="2227"/>
      <c r="E262" s="2121"/>
      <c r="K262" s="2121"/>
      <c r="L262" s="2121"/>
      <c r="M262" s="2124">
        <v>2</v>
      </c>
      <c r="N262" s="2123"/>
      <c r="O262" s="2123"/>
      <c r="P262" s="2421">
        <f>IF($O$36="9%",P263+P265,0)</f>
        <v>0</v>
      </c>
      <c r="Q262" s="2203" t="s">
        <v>416</v>
      </c>
    </row>
    <row r="263" spans="1:19" ht="15.95" customHeight="1">
      <c r="A263" s="2124" t="s">
        <v>1841</v>
      </c>
      <c r="B263" s="2131" t="s">
        <v>3342</v>
      </c>
      <c r="C263" s="2227"/>
      <c r="E263" s="2121"/>
      <c r="G263" s="2368"/>
      <c r="I263" s="2226"/>
      <c r="K263" s="2420"/>
      <c r="M263" s="2123">
        <v>2</v>
      </c>
      <c r="N263" s="2254"/>
      <c r="O263" s="2120"/>
      <c r="P263" s="2422"/>
      <c r="Q263" s="2203"/>
      <c r="R263" s="2305"/>
    </row>
    <row r="264" spans="1:19" s="2121" customFormat="1" ht="15.95" customHeight="1">
      <c r="A264" s="2124"/>
      <c r="B264" s="2121" t="s">
        <v>6899</v>
      </c>
      <c r="N264" s="2144"/>
      <c r="O264" s="2324"/>
      <c r="P264" s="2369"/>
      <c r="R264" s="2232"/>
    </row>
    <row r="265" spans="1:19" ht="15.95" customHeight="1">
      <c r="A265" s="2124" t="s">
        <v>1843</v>
      </c>
      <c r="B265" s="2131" t="s">
        <v>3343</v>
      </c>
      <c r="C265" s="2227"/>
      <c r="E265" s="2121"/>
      <c r="G265" s="2368"/>
      <c r="I265" s="2186"/>
      <c r="L265" s="2139"/>
      <c r="M265" s="2123">
        <v>2</v>
      </c>
      <c r="N265" s="2254"/>
      <c r="O265" s="2120"/>
      <c r="P265" s="2369"/>
      <c r="Q265" s="2203"/>
      <c r="R265" s="2305"/>
    </row>
    <row r="266" spans="1:19" s="2121" customFormat="1" ht="15.95" customHeight="1">
      <c r="A266" s="2338"/>
      <c r="B266" s="2121" t="s">
        <v>6899</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3371</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73" t="s">
        <v>6058</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67" t="s">
        <v>7059</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3374</v>
      </c>
      <c r="B280" s="2143" t="s">
        <v>3345</v>
      </c>
      <c r="D280" s="2227"/>
      <c r="E280" s="2227"/>
      <c r="F280" s="2121"/>
      <c r="G280" s="2121"/>
      <c r="H280" s="2121"/>
      <c r="J280" s="2424"/>
      <c r="K280" s="2210"/>
      <c r="M280" s="2133">
        <v>4</v>
      </c>
      <c r="N280" s="2123"/>
      <c r="O280" s="2371">
        <f>O281+O302</f>
        <v>4</v>
      </c>
      <c r="P280" s="2371">
        <f>P281+P302</f>
        <v>0</v>
      </c>
      <c r="Q280" s="2203" t="s">
        <v>416</v>
      </c>
    </row>
    <row r="281" spans="1:20" ht="15.95" customHeight="1" thickBot="1">
      <c r="A281" s="2313" t="s">
        <v>1841</v>
      </c>
      <c r="B281" s="2131" t="s">
        <v>3346</v>
      </c>
      <c r="L281" s="2232" t="str">
        <f>IF(O281&lt;=M281,"","* * Check Score! * *")</f>
        <v/>
      </c>
      <c r="M281" s="2123">
        <v>3</v>
      </c>
      <c r="N281" s="2254"/>
      <c r="O281" s="2372">
        <v>3</v>
      </c>
      <c r="P281" s="2373"/>
      <c r="Q281" s="2320" t="str">
        <f>IF(O281&lt;=M281,"","*CHECK!*")</f>
        <v/>
      </c>
      <c r="R281" s="2136"/>
      <c r="S281" s="2136"/>
      <c r="T281" s="2119"/>
    </row>
    <row r="282" spans="1:20" ht="30.95" customHeight="1">
      <c r="A282" s="2313"/>
      <c r="B282" s="3929" t="s">
        <v>6861</v>
      </c>
      <c r="C282" s="3929"/>
      <c r="D282" s="3929"/>
      <c r="E282" s="3929"/>
      <c r="F282" s="3929"/>
      <c r="G282" s="3929"/>
      <c r="H282" s="3929"/>
      <c r="I282" s="3929"/>
      <c r="J282" s="3929"/>
      <c r="K282" s="3929"/>
      <c r="L282" s="3929"/>
      <c r="N282" s="2120"/>
      <c r="O282" s="2374" t="s">
        <v>2649</v>
      </c>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3155</v>
      </c>
      <c r="I285" s="2310"/>
      <c r="J285" s="3877"/>
      <c r="K285" s="3878"/>
      <c r="L285" s="2310"/>
      <c r="M285" s="3879"/>
      <c r="N285" s="3880"/>
      <c r="O285" s="3880"/>
      <c r="P285" s="3881"/>
      <c r="R285" s="2232"/>
    </row>
    <row r="286" spans="1:20" ht="15.95" customHeight="1">
      <c r="B286" s="2377" t="s">
        <v>2332</v>
      </c>
      <c r="C286" s="2121" t="s">
        <v>3952</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v>8315415</v>
      </c>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6231</v>
      </c>
      <c r="I290" s="2254"/>
      <c r="J290" s="3877"/>
      <c r="K290" s="3878"/>
      <c r="L290" s="2254"/>
      <c r="M290" s="2378"/>
      <c r="N290" s="2379"/>
      <c r="O290" s="2379"/>
      <c r="P290" s="2380"/>
      <c r="R290" s="2232"/>
    </row>
    <row r="291" spans="1:26" ht="15.95" customHeight="1">
      <c r="A291" s="2230"/>
      <c r="B291" s="2377" t="s">
        <v>474</v>
      </c>
      <c r="C291" s="2121" t="s">
        <v>3154</v>
      </c>
      <c r="I291" s="2254"/>
      <c r="J291" s="3877"/>
      <c r="K291" s="3878"/>
      <c r="L291" s="2254"/>
      <c r="M291" s="3879"/>
      <c r="N291" s="3880"/>
      <c r="O291" s="3880"/>
      <c r="P291" s="3881"/>
      <c r="R291" s="2232"/>
    </row>
    <row r="292" spans="1:26" ht="15.95" customHeight="1">
      <c r="B292" s="2377" t="s">
        <v>3887</v>
      </c>
      <c r="C292" s="2121" t="s">
        <v>6862</v>
      </c>
      <c r="I292" s="2254"/>
      <c r="J292" s="3877"/>
      <c r="K292" s="3878"/>
      <c r="L292" s="2254"/>
      <c r="M292" s="3879"/>
      <c r="N292" s="3880"/>
      <c r="O292" s="3880"/>
      <c r="P292" s="3881"/>
      <c r="R292" s="2232"/>
    </row>
    <row r="293" spans="1:26" ht="15.95" customHeight="1">
      <c r="B293" s="2377" t="s">
        <v>6863</v>
      </c>
      <c r="C293" s="2121" t="s">
        <v>6900</v>
      </c>
      <c r="I293" s="2254"/>
      <c r="J293" s="3877"/>
      <c r="K293" s="3878"/>
      <c r="L293" s="2254"/>
      <c r="M293" s="3879"/>
      <c r="N293" s="3880"/>
      <c r="O293" s="3880"/>
      <c r="P293" s="3881"/>
      <c r="R293" s="2232"/>
    </row>
    <row r="294" spans="1:26" ht="15.95" customHeight="1" thickBot="1">
      <c r="B294" s="2377" t="s">
        <v>6864</v>
      </c>
      <c r="C294" s="2121" t="s">
        <v>6901</v>
      </c>
      <c r="I294" s="2254"/>
      <c r="J294" s="3877"/>
      <c r="K294" s="3878"/>
      <c r="L294" s="2254"/>
      <c r="M294" s="3905"/>
      <c r="N294" s="3906"/>
      <c r="O294" s="3906"/>
      <c r="P294" s="3907"/>
      <c r="R294" s="2232"/>
    </row>
    <row r="295" spans="1:26" ht="15.95" customHeight="1" thickBot="1">
      <c r="B295" s="2121"/>
      <c r="I295" s="2138" t="s">
        <v>2413</v>
      </c>
      <c r="J295" s="3908">
        <f>SUM(J284:K294)</f>
        <v>8315415</v>
      </c>
      <c r="K295" s="3909"/>
      <c r="M295" s="3908">
        <f>SUM($M284:$M294)</f>
        <v>0</v>
      </c>
      <c r="N295" s="3910"/>
      <c r="O295" s="3910"/>
      <c r="P295" s="3909"/>
      <c r="R295" s="2232"/>
    </row>
    <row r="296" spans="1:26" ht="15.95" customHeight="1">
      <c r="M296" s="2136"/>
      <c r="N296" s="2136"/>
      <c r="O296" s="2120"/>
      <c r="P296" s="2136"/>
      <c r="U296" s="3848" t="s">
        <v>6906</v>
      </c>
      <c r="V296" s="3848"/>
      <c r="W296" s="3848"/>
      <c r="X296" s="3848"/>
      <c r="Y296" s="3848"/>
      <c r="Z296" s="3848"/>
    </row>
    <row r="297" spans="1:26" ht="15.95" customHeight="1">
      <c r="A297" s="2121"/>
      <c r="B297" s="2332"/>
      <c r="C297" s="2227" t="s">
        <v>2412</v>
      </c>
      <c r="D297" s="2255"/>
      <c r="E297" s="2255"/>
      <c r="I297" s="2254" t="s">
        <v>6234</v>
      </c>
      <c r="J297" s="3897">
        <f>'Part V-Revenues &amp; Expenses'!$P$67</f>
        <v>76</v>
      </c>
      <c r="K297" s="3898"/>
      <c r="L297" s="2136"/>
      <c r="M297" s="2136"/>
      <c r="N297" s="2136"/>
      <c r="O297" s="2120"/>
      <c r="P297" s="2136"/>
      <c r="U297" s="2432" t="s">
        <v>6904</v>
      </c>
      <c r="V297" s="2432" t="s">
        <v>6905</v>
      </c>
      <c r="W297" s="2432" t="s">
        <v>6904</v>
      </c>
      <c r="X297" s="2432" t="s">
        <v>6905</v>
      </c>
      <c r="Y297" s="2432" t="s">
        <v>6904</v>
      </c>
      <c r="Z297" s="2432" t="s">
        <v>6905</v>
      </c>
    </row>
    <row r="298" spans="1:26" ht="15.95" customHeight="1">
      <c r="C298" s="2255"/>
      <c r="D298" s="2255"/>
      <c r="E298" s="2255"/>
      <c r="I298" s="2381" t="s">
        <v>6235</v>
      </c>
      <c r="J298" s="3911">
        <f>IF(J297=0,0,J295/J297)</f>
        <v>109413.35526315789</v>
      </c>
      <c r="K298" s="3912"/>
      <c r="M298" s="3913">
        <f>IF(J297=0,0,M295/J297)</f>
        <v>0</v>
      </c>
      <c r="N298" s="3914"/>
      <c r="O298" s="3914"/>
      <c r="P298" s="3915"/>
      <c r="S298" s="2431" t="s">
        <v>6902</v>
      </c>
      <c r="U298" s="2425">
        <v>500000</v>
      </c>
      <c r="V298" s="2426">
        <v>999999.99</v>
      </c>
      <c r="W298" s="2425">
        <v>1000000</v>
      </c>
      <c r="X298" s="2426">
        <v>1999999.99</v>
      </c>
      <c r="Y298" s="2425">
        <v>2000000</v>
      </c>
      <c r="Z298" s="2427"/>
    </row>
    <row r="299" spans="1:26" ht="15.95" customHeight="1">
      <c r="C299" s="2255"/>
      <c r="D299" s="2255"/>
      <c r="E299" s="2255"/>
      <c r="I299" s="2230" t="s">
        <v>6865</v>
      </c>
      <c r="J299" s="3897">
        <f>IF(J295&gt;=$Y$298,$Y$300,IF(J295&gt;=$W$298,$W$300,IF(J295&gt;=$U$298,$U$300,0)))</f>
        <v>3</v>
      </c>
      <c r="K299" s="3898"/>
      <c r="M299" s="3897">
        <f t="shared" ref="M299" si="0">IF(M295&gt;=$Y$298,$Y$300,IF(M295&gt;=$W$298,$W$300,IF(M295&gt;=$U$298,$U$300,0)))</f>
        <v>0</v>
      </c>
      <c r="N299" s="3899"/>
      <c r="O299" s="3899">
        <f t="shared" ref="O299" si="1">IF(O295&gt;=$Y$298,$Y$300,IF(O295&gt;=$W$298,$W$300,IF(O295&gt;=$U$298,$U$300,0)))</f>
        <v>0</v>
      </c>
      <c r="P299" s="3898"/>
      <c r="S299" s="2431" t="s">
        <v>6903</v>
      </c>
      <c r="U299" s="2428">
        <v>10000</v>
      </c>
      <c r="V299" s="2429">
        <v>19999.990000000002</v>
      </c>
      <c r="W299" s="2428">
        <v>20000</v>
      </c>
      <c r="X299" s="2429">
        <v>29999.99</v>
      </c>
      <c r="Y299" s="2428">
        <v>30000</v>
      </c>
      <c r="Z299" s="2430"/>
    </row>
    <row r="300" spans="1:26" ht="15.95" customHeight="1">
      <c r="C300" s="2255"/>
      <c r="D300" s="2255"/>
      <c r="E300" s="2255"/>
      <c r="I300" s="2230" t="s">
        <v>6236</v>
      </c>
      <c r="J300" s="3902">
        <f>IF(J298&gt;=$Y$299,$Y$300,IF(J298&gt;=$W$299,$W$300,IF(J298&gt;=$U$299,$U$300,0)))</f>
        <v>3</v>
      </c>
      <c r="K300" s="3903"/>
      <c r="L300" s="2136"/>
      <c r="M300" s="3902">
        <f>IF(M298&gt;=$Y$299,$Y$300,IF(M298&gt;=$W$299,$W$300,IF(M298&gt;=$U$299,$U$300,0)))</f>
        <v>0</v>
      </c>
      <c r="N300" s="3904"/>
      <c r="O300" s="3904"/>
      <c r="P300" s="3903"/>
      <c r="S300" s="2431" t="s">
        <v>6143</v>
      </c>
      <c r="U300" s="3858">
        <v>1</v>
      </c>
      <c r="V300" s="3859"/>
      <c r="W300" s="3858">
        <v>2</v>
      </c>
      <c r="X300" s="3859"/>
      <c r="Y300" s="3858">
        <v>3</v>
      </c>
      <c r="Z300" s="3859"/>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v>1</v>
      </c>
      <c r="P302" s="2321"/>
      <c r="Q302" s="2305"/>
      <c r="V302" s="2355"/>
    </row>
    <row r="303" spans="1:26" ht="30.6" customHeight="1">
      <c r="A303" s="2138"/>
      <c r="B303" s="2285"/>
      <c r="C303" s="3876" t="s">
        <v>6866</v>
      </c>
      <c r="D303" s="3876"/>
      <c r="E303" s="3876"/>
      <c r="F303" s="3876"/>
      <c r="G303" s="3876"/>
      <c r="H303" s="3876"/>
      <c r="I303" s="3876"/>
      <c r="J303" s="3876"/>
      <c r="K303" s="3876"/>
      <c r="L303" s="3876"/>
      <c r="M303" s="3876"/>
      <c r="N303" s="2413"/>
      <c r="O303" s="2382" t="s">
        <v>2649</v>
      </c>
      <c r="P303" s="2383"/>
      <c r="V303" s="2355"/>
    </row>
    <row r="304" spans="1:26" ht="15.95" customHeight="1">
      <c r="A304" s="2138"/>
      <c r="B304" s="2313"/>
      <c r="C304" s="2121" t="s">
        <v>6867</v>
      </c>
      <c r="D304" s="2121"/>
      <c r="E304" s="2121"/>
      <c r="F304" s="2121"/>
      <c r="G304" s="2121"/>
      <c r="H304" s="2121"/>
      <c r="I304" s="2121"/>
      <c r="J304" s="2121"/>
      <c r="K304" s="2121"/>
      <c r="M304" s="2121"/>
      <c r="N304" s="2144"/>
      <c r="O304" s="2269" t="s">
        <v>2649</v>
      </c>
      <c r="P304" s="2270"/>
      <c r="V304" s="2355"/>
    </row>
    <row r="305" spans="1:19" ht="15.95" customHeight="1">
      <c r="B305" s="2313"/>
      <c r="C305" s="2120" t="s">
        <v>6868</v>
      </c>
      <c r="N305" s="2144"/>
      <c r="O305" s="2246" t="s">
        <v>2649</v>
      </c>
      <c r="P305" s="2247"/>
    </row>
    <row r="306" spans="1:19" ht="15.95" customHeight="1" thickBot="1">
      <c r="B306" s="2260" t="s">
        <v>3240</v>
      </c>
    </row>
    <row r="307" spans="1:19" ht="36.75" customHeight="1" thickTop="1" thickBot="1">
      <c r="A307" s="3867" t="s">
        <v>7081</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3375</v>
      </c>
      <c r="B312" s="2143" t="s">
        <v>2469</v>
      </c>
      <c r="D312" s="2226"/>
      <c r="G312" s="2161"/>
      <c r="H312" s="2161"/>
      <c r="I312" s="2161"/>
      <c r="J312" s="2161"/>
      <c r="K312" s="2161"/>
      <c r="L312" s="2161"/>
      <c r="M312" s="2124">
        <v>2</v>
      </c>
      <c r="N312" s="2254"/>
      <c r="O312" s="2202">
        <f>IF(AND($F$36="New Supply",$O$36="9%"),MIN($M312,O314+O316),0)</f>
        <v>2</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7079</v>
      </c>
      <c r="H313" s="3874"/>
      <c r="I313" s="3874"/>
      <c r="J313" s="3874"/>
      <c r="K313" s="3874"/>
      <c r="L313" s="3875"/>
      <c r="M313" s="2286"/>
      <c r="N313" s="2286"/>
      <c r="O313" s="2286"/>
      <c r="P313" s="2286"/>
      <c r="Q313" s="2121"/>
    </row>
    <row r="314" spans="1:19" s="2157" customFormat="1" ht="15.95" customHeight="1">
      <c r="A314" s="2211" t="s">
        <v>1841</v>
      </c>
      <c r="B314" s="2131" t="s">
        <v>3953</v>
      </c>
      <c r="M314" s="2286">
        <v>2</v>
      </c>
      <c r="N314" s="2310"/>
      <c r="O314" s="2308">
        <v>2</v>
      </c>
      <c r="P314" s="2384"/>
      <c r="Q314" s="2320" t="str">
        <f>IF(OR($O314=$M314,$O314=0,$O314=""),"","*CHECK!*")</f>
        <v/>
      </c>
      <c r="R314" s="2305"/>
    </row>
    <row r="315" spans="1:19" ht="42.75" customHeight="1">
      <c r="A315" s="2345"/>
      <c r="B315" s="3891" t="s">
        <v>7101</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3954</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7" t="s">
        <v>7080</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3376</v>
      </c>
      <c r="B323" s="2143" t="s">
        <v>4034</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c r="P326" s="2354"/>
      <c r="Q326" s="2203"/>
    </row>
    <row r="327" spans="1:18" s="2121" customFormat="1" ht="15.95" customHeight="1">
      <c r="A327" s="2124" t="s">
        <v>1843</v>
      </c>
      <c r="B327" s="2131" t="s">
        <v>6941</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3377</v>
      </c>
      <c r="B332" s="2143" t="s">
        <v>6603</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6605</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6606</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6237</v>
      </c>
      <c r="C335" s="2121"/>
      <c r="D335" s="2121"/>
      <c r="E335" s="2121"/>
      <c r="F335" s="2121"/>
      <c r="G335" s="2121"/>
      <c r="H335" s="2121"/>
      <c r="I335" s="2121"/>
      <c r="J335" s="2121"/>
      <c r="K335" s="2121"/>
      <c r="L335" s="2121"/>
      <c r="M335" s="2123">
        <v>1</v>
      </c>
      <c r="N335" s="2390"/>
      <c r="O335" s="2296">
        <v>1</v>
      </c>
      <c r="P335" s="2297"/>
      <c r="Q335" s="2320" t="str">
        <f>IF(OR($O335=$M335,$O335=0,$O335=""),"","*CHECK!*")</f>
        <v/>
      </c>
      <c r="R335" s="2305"/>
    </row>
    <row r="336" spans="1:18" s="2121" customFormat="1" ht="15.95" customHeight="1">
      <c r="A336" s="2124" t="s">
        <v>1962</v>
      </c>
      <c r="B336" s="2131" t="s">
        <v>6607</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67" t="s">
        <v>7109</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3378</v>
      </c>
      <c r="B345" s="2143" t="s">
        <v>6238</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7" t="s">
        <v>7059</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3379</v>
      </c>
      <c r="B352" s="2143" t="s">
        <v>6914</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6869</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3801</v>
      </c>
      <c r="B358" s="2143" t="s">
        <v>6609</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7" t="s">
        <v>7059</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6554</v>
      </c>
      <c r="B365" s="2143" t="s">
        <v>6610</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6131</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6132</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7" t="s">
        <v>7059</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6915</v>
      </c>
      <c r="B374" s="2143" t="s">
        <v>6916</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6917</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6221</v>
      </c>
      <c r="H376" s="2121"/>
      <c r="I376" s="2121"/>
      <c r="J376" s="2121" t="s">
        <v>575</v>
      </c>
      <c r="L376" s="2139" t="s">
        <v>6932</v>
      </c>
      <c r="M376" s="3848" t="s">
        <v>6942</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6918</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7" t="s">
        <v>7059</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6920</v>
      </c>
      <c r="B394" s="2143" t="s">
        <v>6921</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6922</v>
      </c>
      <c r="Q395" s="2320" t="str">
        <f>IF(OR($O395=$M395,$O395=0,$O395=""),"","*CHECK!*")</f>
        <v/>
      </c>
      <c r="R395" s="2305"/>
    </row>
    <row r="396" spans="1:19" ht="147" customHeight="1">
      <c r="A396" s="2345"/>
      <c r="B396" s="3891" t="s">
        <v>6923</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6924</v>
      </c>
      <c r="Q397" s="2320" t="str">
        <f>IF(OR($O397=$M397,$O397=0,$O397=""),"","*CHECK!*")</f>
        <v/>
      </c>
      <c r="R397" s="2305"/>
    </row>
    <row r="398" spans="1:19" ht="147" customHeight="1">
      <c r="A398" s="2345"/>
      <c r="B398" s="3891" t="s">
        <v>6925</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7" t="s">
        <v>7059</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6948</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75</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6870</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t="s">
        <v>7124</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6561</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6562</v>
      </c>
      <c r="AZ416" s="3887"/>
      <c r="BA416" s="3887"/>
      <c r="BB416" s="3887"/>
      <c r="BC416" s="3887"/>
      <c r="BD416" s="3887"/>
      <c r="BE416" s="3888"/>
      <c r="BF416" s="3886" t="s">
        <v>6563</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6135</v>
      </c>
      <c r="AC418" s="2199"/>
      <c r="AD418" s="2397"/>
      <c r="AE418" s="2397"/>
      <c r="AF418" s="2397"/>
      <c r="AG418" s="4039" t="s">
        <v>6123</v>
      </c>
      <c r="AH418" s="4040"/>
      <c r="AI418" s="3883" t="s">
        <v>6504</v>
      </c>
      <c r="AJ418" s="3884"/>
      <c r="AK418" s="3884"/>
      <c r="AL418" s="3884"/>
      <c r="AM418" s="3885"/>
      <c r="AN418" s="4041" t="s">
        <v>6136</v>
      </c>
      <c r="AO418" s="4041"/>
      <c r="AP418" s="4041"/>
      <c r="AQ418" s="4041"/>
      <c r="AR418" s="2397"/>
      <c r="AS418" s="2466"/>
      <c r="AT418" s="2465" t="s">
        <v>6135</v>
      </c>
      <c r="AU418" s="2466"/>
      <c r="AV418" s="2466"/>
      <c r="AW418" s="2466"/>
      <c r="AX418" s="2397"/>
      <c r="AY418" s="3883" t="s">
        <v>6123</v>
      </c>
      <c r="AZ418" s="3885"/>
      <c r="BA418" s="3883" t="s">
        <v>6504</v>
      </c>
      <c r="BB418" s="3884"/>
      <c r="BC418" s="3884"/>
      <c r="BD418" s="3884"/>
      <c r="BE418" s="3885"/>
      <c r="BF418" s="3889" t="s">
        <v>6123</v>
      </c>
      <c r="BG418" s="3889"/>
      <c r="BH418" s="3889" t="s">
        <v>6504</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6912</v>
      </c>
      <c r="AK419" s="2467" t="s">
        <v>6544</v>
      </c>
      <c r="AL419" s="2467" t="s">
        <v>6545</v>
      </c>
      <c r="AM419" s="2467" t="s">
        <v>6546</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6944</v>
      </c>
      <c r="BA419" s="2467" t="s">
        <v>6944</v>
      </c>
      <c r="BB419" s="2467" t="s">
        <v>6928</v>
      </c>
      <c r="BC419" s="2467" t="s">
        <v>6544</v>
      </c>
      <c r="BD419" s="2467" t="s">
        <v>6545</v>
      </c>
      <c r="BE419" s="2467" t="s">
        <v>6546</v>
      </c>
      <c r="BF419" s="2467">
        <v>0.09</v>
      </c>
      <c r="BG419" s="2467" t="s">
        <v>6944</v>
      </c>
      <c r="BH419" s="2467" t="s">
        <v>6944</v>
      </c>
      <c r="BI419" s="2467" t="s">
        <v>6928</v>
      </c>
      <c r="BJ419" s="2467" t="s">
        <v>6544</v>
      </c>
      <c r="BK419" s="2467" t="s">
        <v>6545</v>
      </c>
      <c r="BL419" s="2467" t="s">
        <v>6546</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6750</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6750</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6124</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6124</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6125</v>
      </c>
      <c r="AC422" s="2493"/>
      <c r="AD422" s="2493"/>
      <c r="AE422" s="2493"/>
      <c r="AF422" s="2493"/>
      <c r="AG422" s="2494">
        <v>3</v>
      </c>
      <c r="AH422" s="2486">
        <v>3</v>
      </c>
      <c r="AI422" s="2494"/>
      <c r="AJ422" s="2494"/>
      <c r="AK422" s="2485"/>
      <c r="AL422" s="2485"/>
      <c r="AM422" s="2486"/>
      <c r="AN422" s="2198" t="s">
        <v>6137</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6125</v>
      </c>
      <c r="AU422" s="2493"/>
      <c r="AV422" s="2493"/>
      <c r="AW422" s="2493"/>
      <c r="AX422" s="2493"/>
      <c r="AY422" s="2487">
        <f>O66</f>
        <v>3</v>
      </c>
      <c r="AZ422" s="2491">
        <f>O66</f>
        <v>3</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3392</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3392</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4036</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4036</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3337</v>
      </c>
      <c r="AC425" s="2493"/>
      <c r="AD425" s="2493"/>
      <c r="AE425" s="2493"/>
      <c r="AF425" s="2493"/>
      <c r="AG425" s="2494">
        <v>3</v>
      </c>
      <c r="AH425" s="2486">
        <v>3</v>
      </c>
      <c r="AI425" s="2494"/>
      <c r="AJ425" s="2494"/>
      <c r="AK425" s="2485"/>
      <c r="AL425" s="2485"/>
      <c r="AM425" s="2486"/>
      <c r="AN425" s="4029" t="s">
        <v>6560</v>
      </c>
      <c r="AO425" s="4030"/>
      <c r="AP425" s="4030"/>
      <c r="AQ425" s="4030"/>
      <c r="AR425" s="2397"/>
      <c r="AS425" s="2468" t="s">
        <v>720</v>
      </c>
      <c r="AT425" s="2492" t="s">
        <v>3337</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3393</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3393</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3394</v>
      </c>
      <c r="AC427" s="2493"/>
      <c r="AD427" s="2493"/>
      <c r="AE427" s="2493"/>
      <c r="AF427" s="2493"/>
      <c r="AG427" s="2494">
        <v>3</v>
      </c>
      <c r="AH427" s="2486"/>
      <c r="AI427" s="2494"/>
      <c r="AJ427" s="2494"/>
      <c r="AK427" s="2485"/>
      <c r="AL427" s="2485"/>
      <c r="AM427" s="2486"/>
      <c r="AN427" s="2199" t="s">
        <v>6555</v>
      </c>
      <c r="AO427" s="2199"/>
      <c r="AP427" s="2199"/>
      <c r="AQ427" s="2504"/>
      <c r="AR427" s="2397"/>
      <c r="AS427" s="2468" t="s">
        <v>401</v>
      </c>
      <c r="AT427" s="2492" t="s">
        <v>3394</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4037</v>
      </c>
      <c r="AC428" s="2493"/>
      <c r="AD428" s="2493"/>
      <c r="AE428" s="2493"/>
      <c r="AF428" s="2493"/>
      <c r="AG428" s="2494">
        <v>9</v>
      </c>
      <c r="AH428" s="2486">
        <v>9</v>
      </c>
      <c r="AI428" s="2494"/>
      <c r="AJ428" s="2494"/>
      <c r="AK428" s="2485"/>
      <c r="AL428" s="2485"/>
      <c r="AM428" s="2486"/>
      <c r="AN428" s="2199" t="s">
        <v>3305</v>
      </c>
      <c r="AO428" s="2199"/>
      <c r="AP428" s="2199"/>
      <c r="AQ428" s="2505"/>
      <c r="AR428" s="2397"/>
      <c r="AS428" s="2468" t="s">
        <v>342</v>
      </c>
      <c r="AT428" s="2492" t="s">
        <v>4037</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4062</v>
      </c>
      <c r="H429" s="2397" t="s">
        <v>4063</v>
      </c>
      <c r="I429" s="2402" t="s">
        <v>4061</v>
      </c>
      <c r="J429" s="2397" t="s">
        <v>3025</v>
      </c>
      <c r="K429" s="2397"/>
      <c r="L429" s="2402"/>
      <c r="M429" s="2397"/>
      <c r="N429" s="2342"/>
      <c r="O429" s="2399">
        <v>2</v>
      </c>
      <c r="P429" s="2399"/>
      <c r="Q429" s="2397"/>
      <c r="R429" s="2397"/>
      <c r="S429" s="2397"/>
      <c r="AA429" s="2468" t="s">
        <v>343</v>
      </c>
      <c r="AB429" s="2492" t="s">
        <v>6126</v>
      </c>
      <c r="AC429" s="2493"/>
      <c r="AD429" s="2493"/>
      <c r="AE429" s="2493"/>
      <c r="AF429" s="2493"/>
      <c r="AG429" s="2494">
        <v>1</v>
      </c>
      <c r="AH429" s="2486"/>
      <c r="AI429" s="2494"/>
      <c r="AJ429" s="2494"/>
      <c r="AK429" s="2485"/>
      <c r="AL429" s="2485"/>
      <c r="AM429" s="2486"/>
      <c r="AN429" s="2506" t="s">
        <v>6141</v>
      </c>
      <c r="AO429" s="2199"/>
      <c r="AP429" s="2199"/>
      <c r="AQ429" s="2507"/>
      <c r="AR429" s="2397"/>
      <c r="AS429" s="2468" t="s">
        <v>343</v>
      </c>
      <c r="AT429" s="2492" t="s">
        <v>6126</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6510</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4065</v>
      </c>
      <c r="I431" s="2402" t="s">
        <v>2453</v>
      </c>
      <c r="J431" s="2397" t="s">
        <v>3026</v>
      </c>
      <c r="K431" s="2397"/>
      <c r="L431" s="2403"/>
      <c r="M431" s="2397"/>
      <c r="N431" s="2342"/>
      <c r="O431" s="2399">
        <v>1</v>
      </c>
      <c r="P431" s="2399"/>
      <c r="Q431" s="2397"/>
      <c r="R431" s="2397"/>
      <c r="S431" s="2397"/>
      <c r="AA431" s="2468" t="s">
        <v>1604</v>
      </c>
      <c r="AB431" s="2492" t="s">
        <v>6127</v>
      </c>
      <c r="AC431" s="2493"/>
      <c r="AD431" s="2493"/>
      <c r="AE431" s="2493"/>
      <c r="AF431" s="2493"/>
      <c r="AG431" s="2494">
        <v>3</v>
      </c>
      <c r="AH431" s="2486"/>
      <c r="AI431" s="2494"/>
      <c r="AJ431" s="2494"/>
      <c r="AK431" s="2485"/>
      <c r="AL431" s="2485"/>
      <c r="AM431" s="2486"/>
      <c r="AN431" s="2397"/>
      <c r="AO431" s="2199"/>
      <c r="AP431" s="2400" t="s">
        <v>6140</v>
      </c>
      <c r="AQ431" s="2508" t="str">
        <f>IF('Part VII-Threshold Criteria'!$P$224="Agree","Yes","")</f>
        <v/>
      </c>
      <c r="AR431" s="2397"/>
      <c r="AS431" s="2468" t="s">
        <v>1604</v>
      </c>
      <c r="AT431" s="2492" t="s">
        <v>6127</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4064</v>
      </c>
      <c r="J432" s="2397" t="s">
        <v>3027</v>
      </c>
      <c r="K432" s="2397"/>
      <c r="L432" s="2403"/>
      <c r="M432" s="2397"/>
      <c r="N432" s="2342"/>
      <c r="O432" s="2399">
        <v>1</v>
      </c>
      <c r="P432" s="2399"/>
      <c r="Q432" s="2397"/>
      <c r="R432" s="2397"/>
      <c r="S432" s="2397"/>
      <c r="AA432" s="2468" t="s">
        <v>3368</v>
      </c>
      <c r="AB432" s="2492" t="s">
        <v>4041</v>
      </c>
      <c r="AC432" s="2493"/>
      <c r="AD432" s="2493"/>
      <c r="AE432" s="2493"/>
      <c r="AF432" s="2493"/>
      <c r="AG432" s="2494">
        <v>5</v>
      </c>
      <c r="AH432" s="2486"/>
      <c r="AI432" s="2494"/>
      <c r="AJ432" s="2494"/>
      <c r="AK432" s="2485"/>
      <c r="AL432" s="2485"/>
      <c r="AM432" s="2486"/>
      <c r="AN432" s="2506"/>
      <c r="AO432" s="2199"/>
      <c r="AP432" s="2400" t="s">
        <v>6556</v>
      </c>
      <c r="AQ432" s="2509" t="str">
        <f>IF('Part VII-Threshold Criteria'!$P$225="Agree","Yes","")</f>
        <v/>
      </c>
      <c r="AR432" s="2397"/>
      <c r="AS432" s="2468" t="s">
        <v>3368</v>
      </c>
      <c r="AT432" s="2492" t="s">
        <v>4041</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3802</v>
      </c>
      <c r="AC433" s="2493"/>
      <c r="AD433" s="2493"/>
      <c r="AE433" s="2493"/>
      <c r="AF433" s="2493"/>
      <c r="AG433" s="2494">
        <v>4</v>
      </c>
      <c r="AH433" s="2486">
        <v>4</v>
      </c>
      <c r="AI433" s="2494">
        <v>4</v>
      </c>
      <c r="AJ433" s="2494">
        <v>4</v>
      </c>
      <c r="AK433" s="2485">
        <v>4</v>
      </c>
      <c r="AL433" s="2485">
        <v>4</v>
      </c>
      <c r="AM433" s="2486">
        <v>4</v>
      </c>
      <c r="AN433" s="2510"/>
      <c r="AO433" s="2469"/>
      <c r="AP433" s="2511" t="s">
        <v>6557</v>
      </c>
      <c r="AQ433" s="2512" t="str">
        <f>IF('Part VII-Threshold Criteria'!$P$226="Agree","Yes","")</f>
        <v/>
      </c>
      <c r="AR433" s="2397"/>
      <c r="AS433" s="2468" t="s">
        <v>2080</v>
      </c>
      <c r="AT433" s="2492" t="s">
        <v>3802</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4064</v>
      </c>
      <c r="J434" s="2397" t="s">
        <v>3250</v>
      </c>
      <c r="K434" s="2397"/>
      <c r="L434" s="2403"/>
      <c r="M434" s="2397"/>
      <c r="N434" s="2342"/>
      <c r="O434" s="2399">
        <v>1</v>
      </c>
      <c r="P434" s="2399"/>
      <c r="Q434" s="2397"/>
      <c r="R434" s="2397"/>
      <c r="S434" s="2397"/>
      <c r="AA434" s="2468" t="s">
        <v>3368</v>
      </c>
      <c r="AB434" s="2492" t="s">
        <v>6547</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3368</v>
      </c>
      <c r="AT434" s="2492" t="s">
        <v>6547</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4064</v>
      </c>
      <c r="J435" s="2397" t="s">
        <v>3036</v>
      </c>
      <c r="K435" s="2397"/>
      <c r="L435" s="2403"/>
      <c r="M435" s="2397"/>
      <c r="N435" s="2342"/>
      <c r="O435" s="2399">
        <v>1</v>
      </c>
      <c r="P435" s="2399"/>
      <c r="Q435" s="2397"/>
      <c r="R435" s="2397"/>
      <c r="S435" s="2397"/>
      <c r="AA435" s="2468" t="s">
        <v>3369</v>
      </c>
      <c r="AB435" s="2492" t="s">
        <v>6548</v>
      </c>
      <c r="AC435" s="2493"/>
      <c r="AD435" s="2493"/>
      <c r="AE435" s="2493"/>
      <c r="AF435" s="2493"/>
      <c r="AG435" s="2494">
        <v>2</v>
      </c>
      <c r="AH435" s="2486">
        <v>2</v>
      </c>
      <c r="AI435" s="2494">
        <v>2</v>
      </c>
      <c r="AJ435" s="2494">
        <v>2</v>
      </c>
      <c r="AK435" s="2485">
        <v>2</v>
      </c>
      <c r="AL435" s="2485">
        <v>2</v>
      </c>
      <c r="AM435" s="2486">
        <v>2</v>
      </c>
      <c r="AN435" s="2516" t="s">
        <v>6558</v>
      </c>
      <c r="AO435" s="2517"/>
      <c r="AP435" s="2518"/>
      <c r="AQ435" s="2507"/>
      <c r="AR435" s="2397"/>
      <c r="AS435" s="2468" t="s">
        <v>3369</v>
      </c>
      <c r="AT435" s="2492" t="s">
        <v>6548</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3367</v>
      </c>
      <c r="AB436" s="2492" t="s">
        <v>6553</v>
      </c>
      <c r="AC436" s="2493"/>
      <c r="AD436" s="2493"/>
      <c r="AE436" s="2493"/>
      <c r="AF436" s="2493"/>
      <c r="AG436" s="2494">
        <v>2</v>
      </c>
      <c r="AH436" s="2486"/>
      <c r="AI436" s="2494"/>
      <c r="AJ436" s="2494"/>
      <c r="AK436" s="2485">
        <v>2</v>
      </c>
      <c r="AL436" s="2485">
        <v>2</v>
      </c>
      <c r="AM436" s="2486">
        <v>2</v>
      </c>
      <c r="AN436" s="2199" t="s">
        <v>6559</v>
      </c>
      <c r="AO436" s="2199"/>
      <c r="AP436" s="2199"/>
      <c r="AQ436" s="2500">
        <f>'Part II-Sources of Funds'!$L$14</f>
        <v>0</v>
      </c>
      <c r="AR436" s="2397"/>
      <c r="AS436" s="2468" t="s">
        <v>3367</v>
      </c>
      <c r="AT436" s="2492" t="s">
        <v>6553</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4064</v>
      </c>
      <c r="J437" s="2397" t="s">
        <v>3030</v>
      </c>
      <c r="K437" s="2397"/>
      <c r="L437" s="2403"/>
      <c r="M437" s="2397"/>
      <c r="N437" s="2342"/>
      <c r="O437" s="2399">
        <v>1</v>
      </c>
      <c r="P437" s="2399"/>
      <c r="Q437" s="2397"/>
      <c r="R437" s="2397"/>
      <c r="S437" s="2397"/>
      <c r="AA437" s="2468" t="s">
        <v>3370</v>
      </c>
      <c r="AB437" s="2492" t="s">
        <v>6128</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3370</v>
      </c>
      <c r="AT437" s="2492" t="s">
        <v>6128</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4065</v>
      </c>
      <c r="I438" s="2402" t="s">
        <v>2453</v>
      </c>
      <c r="J438" s="2397" t="s">
        <v>3031</v>
      </c>
      <c r="K438" s="2397"/>
      <c r="L438" s="2403"/>
      <c r="M438" s="2397"/>
      <c r="N438" s="2342"/>
      <c r="O438" s="2399">
        <v>1</v>
      </c>
      <c r="P438" s="2399"/>
      <c r="Q438" s="2397"/>
      <c r="R438" s="2397"/>
      <c r="S438" s="2397"/>
      <c r="AA438" s="2468" t="s">
        <v>3371</v>
      </c>
      <c r="AB438" s="2492" t="s">
        <v>3395</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3371</v>
      </c>
      <c r="AT438" s="2492" t="s">
        <v>3395</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4065</v>
      </c>
      <c r="I439" s="2402" t="s">
        <v>2453</v>
      </c>
      <c r="J439" s="2397" t="s">
        <v>3032</v>
      </c>
      <c r="K439" s="2397"/>
      <c r="L439" s="2403"/>
      <c r="M439" s="2397"/>
      <c r="N439" s="2342"/>
      <c r="O439" s="2399">
        <v>1</v>
      </c>
      <c r="P439" s="2399"/>
      <c r="Q439" s="2397"/>
      <c r="R439" s="2397"/>
      <c r="S439" s="2397"/>
      <c r="AA439" s="2468" t="s">
        <v>3374</v>
      </c>
      <c r="AB439" s="2492" t="s">
        <v>3396</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3374</v>
      </c>
      <c r="AT439" s="2492" t="s">
        <v>3396</v>
      </c>
      <c r="AU439" s="2493"/>
      <c r="AV439" s="2493"/>
      <c r="AW439" s="2493"/>
      <c r="AX439" s="2493"/>
      <c r="AY439" s="2487">
        <f>O280</f>
        <v>4</v>
      </c>
      <c r="AZ439" s="2491">
        <f>O280</f>
        <v>4</v>
      </c>
      <c r="BA439" s="2487">
        <f>O280</f>
        <v>4</v>
      </c>
      <c r="BB439" s="2488">
        <f>O280</f>
        <v>4</v>
      </c>
      <c r="BC439" s="2488">
        <f>O280</f>
        <v>4</v>
      </c>
      <c r="BD439" s="2488">
        <f>O280</f>
        <v>4</v>
      </c>
      <c r="BE439" s="2489">
        <f>O280</f>
        <v>4</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4064</v>
      </c>
      <c r="J440" s="2397" t="s">
        <v>3035</v>
      </c>
      <c r="K440" s="2397"/>
      <c r="L440" s="2403"/>
      <c r="M440" s="2397"/>
      <c r="N440" s="2342"/>
      <c r="O440" s="2399">
        <v>1</v>
      </c>
      <c r="P440" s="2399"/>
      <c r="Q440" s="2397"/>
      <c r="R440" s="2397"/>
      <c r="S440" s="2397"/>
      <c r="AA440" s="2468" t="s">
        <v>3375</v>
      </c>
      <c r="AB440" s="2492" t="s">
        <v>3397</v>
      </c>
      <c r="AC440" s="2493"/>
      <c r="AD440" s="2493"/>
      <c r="AE440" s="2493"/>
      <c r="AF440" s="2493"/>
      <c r="AG440" s="2494">
        <v>2</v>
      </c>
      <c r="AH440" s="2486"/>
      <c r="AI440" s="2494"/>
      <c r="AJ440" s="2494"/>
      <c r="AK440" s="2485"/>
      <c r="AL440" s="2485"/>
      <c r="AM440" s="2486"/>
      <c r="AN440" s="2397"/>
      <c r="AO440" s="2397"/>
      <c r="AP440" s="2397"/>
      <c r="AQ440" s="2397"/>
      <c r="AR440" s="2397"/>
      <c r="AS440" s="2468" t="s">
        <v>3375</v>
      </c>
      <c r="AT440" s="2492" t="s">
        <v>3397</v>
      </c>
      <c r="AU440" s="2493"/>
      <c r="AV440" s="2493"/>
      <c r="AW440" s="2493"/>
      <c r="AX440" s="2493"/>
      <c r="AY440" s="2487">
        <f>O312</f>
        <v>2</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4065</v>
      </c>
      <c r="I441" s="2402" t="s">
        <v>2453</v>
      </c>
      <c r="J441" s="2397" t="s">
        <v>3033</v>
      </c>
      <c r="K441" s="2397"/>
      <c r="L441" s="2403"/>
      <c r="M441" s="2397"/>
      <c r="N441" s="2342"/>
      <c r="O441" s="2399">
        <v>1</v>
      </c>
      <c r="P441" s="2399"/>
      <c r="Q441" s="2397"/>
      <c r="R441" s="2397"/>
      <c r="S441" s="2397"/>
      <c r="AA441" s="2468" t="s">
        <v>3376</v>
      </c>
      <c r="AB441" s="2492" t="s">
        <v>6129</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3376</v>
      </c>
      <c r="AT441" s="2492" t="s">
        <v>6129</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4064</v>
      </c>
      <c r="J442" s="2397" t="s">
        <v>3034</v>
      </c>
      <c r="K442" s="2397"/>
      <c r="L442" s="2403"/>
      <c r="M442" s="2397"/>
      <c r="N442" s="2342"/>
      <c r="O442" s="2399">
        <v>1</v>
      </c>
      <c r="P442" s="2399"/>
      <c r="Q442" s="2397"/>
      <c r="R442" s="2397"/>
      <c r="S442" s="2397"/>
      <c r="AA442" s="2468" t="s">
        <v>3377</v>
      </c>
      <c r="AB442" s="2492" t="s">
        <v>6549</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3377</v>
      </c>
      <c r="AT442" s="2492" t="s">
        <v>6549</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4064</v>
      </c>
      <c r="J443" s="2397"/>
      <c r="K443" s="2397"/>
      <c r="L443" s="2403"/>
      <c r="M443" s="2397"/>
      <c r="N443" s="2342"/>
      <c r="O443" s="2399"/>
      <c r="P443" s="2399"/>
      <c r="Q443" s="2397"/>
      <c r="R443" s="2397"/>
      <c r="S443" s="2397"/>
      <c r="AA443" s="2468" t="s">
        <v>3378</v>
      </c>
      <c r="AB443" s="2492" t="s">
        <v>6130</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3378</v>
      </c>
      <c r="AT443" s="2492" t="s">
        <v>6130</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4064</v>
      </c>
      <c r="J444" s="2397"/>
      <c r="K444" s="2397"/>
      <c r="L444" s="2403"/>
      <c r="M444" s="2397"/>
      <c r="N444" s="2342"/>
      <c r="O444" s="2399"/>
      <c r="P444" s="2399"/>
      <c r="Q444" s="2397"/>
      <c r="R444" s="2397"/>
      <c r="S444" s="2397"/>
      <c r="AA444" s="2468" t="s">
        <v>3379</v>
      </c>
      <c r="AB444" s="2492" t="s">
        <v>6913</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3379</v>
      </c>
      <c r="AT444" s="2492" t="s">
        <v>6913</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4064</v>
      </c>
      <c r="J445" s="2405" t="s">
        <v>3260</v>
      </c>
      <c r="K445" s="2397"/>
      <c r="L445" s="2403"/>
      <c r="M445" s="2397"/>
      <c r="N445" s="2342"/>
      <c r="O445" s="2399"/>
      <c r="P445" s="2399"/>
      <c r="Q445" s="2397"/>
      <c r="R445" s="2397"/>
      <c r="S445" s="2397"/>
      <c r="AA445" s="2468" t="s">
        <v>3801</v>
      </c>
      <c r="AB445" s="2492" t="s">
        <v>6551</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3801</v>
      </c>
      <c r="AT445" s="2492" t="s">
        <v>6551</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4064</v>
      </c>
      <c r="J446" s="2397" t="s">
        <v>3335</v>
      </c>
      <c r="K446" s="2397"/>
      <c r="L446" s="2403"/>
      <c r="M446" s="2397"/>
      <c r="N446" s="2342"/>
      <c r="O446" s="2399"/>
      <c r="P446" s="2399"/>
      <c r="Q446" s="2397"/>
      <c r="R446" s="2397"/>
      <c r="S446" s="2397"/>
      <c r="AA446" s="2468" t="s">
        <v>6554</v>
      </c>
      <c r="AB446" s="2514" t="s">
        <v>6552</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6554</v>
      </c>
      <c r="AT446" s="2514" t="s">
        <v>6552</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4064</v>
      </c>
      <c r="J447" s="2397" t="s">
        <v>3330</v>
      </c>
      <c r="K447" s="2397"/>
      <c r="L447" s="2403"/>
      <c r="M447" s="2397"/>
      <c r="N447" s="2342"/>
      <c r="O447" s="2399"/>
      <c r="P447" s="2399"/>
      <c r="Q447" s="2397"/>
      <c r="R447" s="2397"/>
      <c r="S447" s="2397"/>
      <c r="AA447" s="2468" t="s">
        <v>6915</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6915</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4064</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4065</v>
      </c>
      <c r="I449" s="2402" t="s">
        <v>2453</v>
      </c>
      <c r="J449" s="2397" t="s">
        <v>3326</v>
      </c>
      <c r="K449" s="2397"/>
      <c r="L449" s="2403"/>
      <c r="M449" s="2397"/>
      <c r="N449" s="2342"/>
      <c r="O449" s="2399"/>
      <c r="P449" s="2399"/>
      <c r="Q449" s="2397"/>
      <c r="R449" s="2397"/>
      <c r="S449" s="2397"/>
      <c r="AA449" s="2199"/>
      <c r="AB449" s="2540"/>
      <c r="AC449" s="2199"/>
      <c r="AD449" s="2198" t="s">
        <v>6242</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75</v>
      </c>
      <c r="AZ449" s="2542">
        <f>IF(AND($O$36="4%",($C$36-$A$36)&gt;0),(SUM(AZ420:AZ447)-($C$36-$A$36)),SUM(AZ420:AZ447))</f>
        <v>67</v>
      </c>
      <c r="BA449" s="2542">
        <f t="shared" ref="BA449:BB449" si="3">IF(AND($O$36="4%",($C$36-$A$36)&gt;0),(SUM(BA420:BA447)-($C$36-$A$36)),SUM(BA420:BA447))</f>
        <v>33</v>
      </c>
      <c r="BB449" s="2542">
        <f t="shared" si="3"/>
        <v>33</v>
      </c>
      <c r="BC449" s="2542">
        <f t="shared" ref="BC449:BL449" si="4">SUM(BC420:BC447)</f>
        <v>35</v>
      </c>
      <c r="BD449" s="2542">
        <f t="shared" si="4"/>
        <v>35</v>
      </c>
      <c r="BE449" s="2542">
        <f t="shared" si="4"/>
        <v>35</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4064</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4064</v>
      </c>
      <c r="J451" s="2397" t="s">
        <v>3327</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4064</v>
      </c>
      <c r="J452" s="2397" t="s">
        <v>3255</v>
      </c>
      <c r="K452" s="2397"/>
      <c r="L452" s="2397"/>
      <c r="M452" s="2397"/>
      <c r="N452" s="2342"/>
      <c r="O452" s="2399"/>
      <c r="P452" s="2399"/>
      <c r="Q452" s="2397"/>
      <c r="R452" s="2397"/>
      <c r="S452" s="2397"/>
    </row>
    <row r="453" spans="2:66">
      <c r="B453" s="2397"/>
      <c r="C453" s="2397"/>
      <c r="D453" s="2397"/>
      <c r="E453" s="2397"/>
      <c r="F453" s="2397"/>
      <c r="G453" s="2404" t="s">
        <v>3344</v>
      </c>
      <c r="H453" s="2342" t="s">
        <v>4065</v>
      </c>
      <c r="I453" s="2402" t="s">
        <v>2453</v>
      </c>
      <c r="J453" s="2397" t="s">
        <v>3328</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4064</v>
      </c>
      <c r="J454" s="2397" t="s">
        <v>3331</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4064</v>
      </c>
      <c r="J455" s="2397" t="s">
        <v>3334</v>
      </c>
      <c r="K455" s="2397"/>
      <c r="L455" s="2397"/>
      <c r="M455" s="2397"/>
      <c r="N455" s="2397"/>
      <c r="O455" s="2397"/>
      <c r="P455" s="2397"/>
      <c r="Q455" s="2397"/>
      <c r="R455" s="2397"/>
      <c r="S455" s="2397"/>
    </row>
    <row r="456" spans="2:66" ht="14.25">
      <c r="B456" s="2397"/>
      <c r="C456" s="2397"/>
      <c r="D456" s="2406"/>
      <c r="E456" s="2397"/>
      <c r="F456" s="2397"/>
      <c r="G456" s="2404" t="s">
        <v>1349</v>
      </c>
      <c r="H456" s="2342" t="s">
        <v>4065</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4065</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4064</v>
      </c>
      <c r="J458" s="2397" t="s">
        <v>3329</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4064</v>
      </c>
      <c r="J459" s="2397" t="s">
        <v>3332</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4064</v>
      </c>
      <c r="J460" s="2397" t="s">
        <v>3333</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4064</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4064</v>
      </c>
      <c r="J462" s="2397" t="s">
        <v>3259</v>
      </c>
      <c r="K462" s="2397"/>
      <c r="L462" s="2403"/>
      <c r="M462" s="2397"/>
      <c r="N462" s="2397"/>
      <c r="O462" s="2397"/>
      <c r="P462" s="2397"/>
      <c r="Q462" s="2397"/>
      <c r="R462" s="2397"/>
      <c r="S462" s="2397"/>
    </row>
    <row r="463" spans="2:66" ht="14.25">
      <c r="B463" s="2397"/>
      <c r="C463" s="2406"/>
      <c r="D463" s="2397"/>
      <c r="E463" s="2397"/>
      <c r="F463" s="2397"/>
      <c r="G463" s="2404" t="s">
        <v>4059</v>
      </c>
      <c r="H463" s="2342" t="s">
        <v>4065</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4065</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4065</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4065</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4064</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4064</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4064</v>
      </c>
      <c r="J469" s="2397"/>
      <c r="K469" s="2397"/>
      <c r="L469" s="2397"/>
      <c r="M469" s="2397"/>
      <c r="N469" s="2397"/>
      <c r="O469" s="2397"/>
      <c r="P469" s="2397"/>
      <c r="Q469" s="2397"/>
      <c r="R469" s="2397"/>
      <c r="S469" s="2397"/>
    </row>
    <row r="470" spans="2:19">
      <c r="B470" s="2397"/>
      <c r="C470" s="2397"/>
      <c r="D470" s="2397"/>
      <c r="E470" s="2397"/>
      <c r="F470" s="2397"/>
      <c r="G470" s="2404" t="s">
        <v>4060</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4064</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4064</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4064</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4064</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4064</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4064</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4064</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4065</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dataValidation type="list" allowBlank="1" showInputMessage="1" showErrorMessage="1" sqref="P120:P121 P372:P373 P321:P322 P140:P141 P310:P311 P330:P331 P343:P344 P350:P351 P356:P357 AQ434:AQ435 O353:P353 P363:P364 P392:P393 AQ427:AQ429">
      <formula1>"Yes, No"</formula1>
    </dataValidation>
    <dataValidation type="whole" operator="lessThanOrEqual" allowBlank="1" showInputMessage="1" showErrorMessage="1" sqref="P69">
      <formula1>$M69</formula1>
    </dataValidation>
    <dataValidation type="list" allowBlank="1" showInputMessage="1" showErrorMessage="1" sqref="J63 J53 J55 J57 J59 J61 O53:P63 P13:P32 P45 F52:F63">
      <formula1>"0,1"</formula1>
    </dataValidation>
    <dataValidation type="whole" operator="equal" allowBlank="1" showErrorMessage="1" errorTitle="Incorrect Point Value Entered" error="Please re-check the point value for this criterion." sqref="O69:O70 O72">
      <formula1>$M69</formula1>
    </dataValidation>
    <dataValidation type="decimal" operator="lessThanOrEqual" allowBlank="1" showInputMessage="1" showErrorMessage="1" sqref="O78:P78 O106:P106 O95:P95">
      <formula1>$M78</formula1>
    </dataValidation>
    <dataValidation type="list" allowBlank="1" showInputMessage="1" showErrorMessage="1" sqref="E161 J161">
      <formula1>"Above 60th Percentile/Below 80th Percentile, At or Above 80th Percentile, At or Below 60th Percentile"</formula1>
    </dataValidation>
    <dataValidation type="list" allowBlank="1" showInputMessage="1" showErrorMessage="1" sqref="I159:I161">
      <formula1>"2020, 2021"</formula1>
    </dataValidation>
    <dataValidation type="whole" operator="equal" allowBlank="1" showInputMessage="1" showErrorMessage="1" sqref="P99:P100">
      <formula1>$M99</formula1>
    </dataValidation>
    <dataValidation type="list" allowBlank="1" showInputMessage="1" showErrorMessage="1" sqref="O345 P352">
      <formula1>"2, 4, 6"</formula1>
    </dataValidation>
    <dataValidation type="list" allowBlank="1" showInputMessage="1" showErrorMessage="1" sqref="O358:P358">
      <formula1>"2, 3, 4"</formula1>
    </dataValidation>
    <dataValidation type="list" allowBlank="1" showInputMessage="1" showErrorMessage="1" sqref="O366:P366 O375:P375">
      <formula1>"4, 6"</formula1>
    </dataValidation>
    <dataValidation type="list" allowBlank="1" showInputMessage="1" showErrorMessage="1" sqref="O387:P387 O367:P367">
      <formula1>"2, 4"</formula1>
    </dataValidation>
    <dataValidation type="list" allowBlank="1" showInputMessage="1" showErrorMessage="1" sqref="O96:P96">
      <formula1>"4, 4.5, 5"</formula1>
    </dataValidation>
    <dataValidation type="list" allowBlank="1" showInputMessage="1" showErrorMessage="1" sqref="O98:P98">
      <formula1>"1,2,3"</formula1>
    </dataValidation>
    <dataValidation type="list" allowBlank="1" showInputMessage="1" showErrorMessage="1" sqref="I237:L237">
      <formula1>"Select Certification, GDOAS Minority Business Enterprise Certification, GDOT Disadvantaged Business Enterprise, NMSDC, TBD (only if Option A)"</formula1>
    </dataValidation>
    <dataValidation type="list" allowBlank="1" showInputMessage="1" showErrorMessage="1" sqref="F36:I37">
      <formula1>"&lt;&lt; Select Activity Type &gt;&gt;, New Supply, Preservation"</formula1>
    </dataValidation>
    <dataValidation type="list" allowBlank="1" showInputMessage="1" showErrorMessage="1" sqref="J36:M37">
      <formula1>"&lt;&lt; Select Pool &gt;&gt;, Rural, Other Metro, Atlanta Metro, N/A-4%"</formula1>
    </dataValidation>
    <dataValidation type="list" allowBlank="1" showInputMessage="1" showErrorMessage="1" sqref="J154:M154">
      <formula1>"&lt;&lt; Select &gt;&gt;,Site Census Tract, Other Census Tract"</formula1>
    </dataValidation>
    <dataValidation type="list" allowBlank="1" showInputMessage="1" showErrorMessage="1" sqref="P345">
      <formula1>"0, 2, 4, 6"</formula1>
    </dataValidation>
    <dataValidation type="list" allowBlank="1" showInputMessage="1" showErrorMessage="1" sqref="J159:J160 E159:E160">
      <formula1>"Above 60th Percentile, At or Below 60th Percentile"</formula1>
    </dataValidation>
    <dataValidation type="list" allowBlank="1" showInputMessage="1" showErrorMessage="1" sqref="O239:P239">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abSelected="1" topLeftCell="A22"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6927</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3188</v>
      </c>
      <c r="C13" s="4105"/>
      <c r="D13" s="4105"/>
      <c r="E13" s="4105"/>
      <c r="F13" s="4105"/>
      <c r="G13" s="4105"/>
      <c r="H13" s="4105"/>
      <c r="I13" s="4105"/>
      <c r="J13" s="4105"/>
      <c r="K13" s="4105"/>
      <c r="L13" s="4105"/>
      <c r="M13" s="4105"/>
      <c r="U13" s="809" t="s">
        <v>6269</v>
      </c>
    </row>
    <row r="14" spans="1:26" ht="47.25" customHeight="1">
      <c r="A14" s="815" t="s">
        <v>1615</v>
      </c>
      <c r="B14" s="4105" t="s">
        <v>3189</v>
      </c>
      <c r="C14" s="4105"/>
      <c r="D14" s="4105"/>
      <c r="E14" s="4105"/>
      <c r="F14" s="4105"/>
      <c r="G14" s="4105"/>
      <c r="H14" s="4105"/>
      <c r="I14" s="4105"/>
      <c r="J14" s="4105"/>
      <c r="K14" s="4105"/>
      <c r="L14" s="4105"/>
      <c r="M14" s="4105"/>
    </row>
    <row r="15" spans="1:26" ht="117" customHeight="1">
      <c r="A15" s="815" t="s">
        <v>1616</v>
      </c>
      <c r="B15" s="4105" t="s">
        <v>3190</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3191</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3087</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3088</v>
      </c>
      <c r="C25" s="4105"/>
      <c r="D25" s="4105"/>
      <c r="E25" s="4105"/>
      <c r="F25" s="4105"/>
      <c r="G25" s="4105"/>
      <c r="H25" s="4105"/>
      <c r="I25" s="4105"/>
      <c r="J25" s="4105"/>
      <c r="K25" s="4105"/>
      <c r="L25" s="4105"/>
      <c r="M25" s="4105"/>
    </row>
    <row r="26" spans="1:13" ht="31.5" customHeight="1">
      <c r="A26" s="815" t="s">
        <v>1375</v>
      </c>
      <c r="B26" s="4105" t="s">
        <v>3089</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66" t="str">
        <f>'Part I-Project Identification'!F25</f>
        <v>Freedom's Path Augusta III</v>
      </c>
      <c r="E3" s="4167"/>
      <c r="F3" s="4167"/>
      <c r="G3" s="4167"/>
      <c r="H3" s="4167"/>
      <c r="I3" s="4167"/>
      <c r="J3" s="4168" t="s">
        <v>6169</v>
      </c>
      <c r="K3" s="4169"/>
    </row>
    <row r="4" spans="1:11" ht="15" customHeight="1">
      <c r="A4" s="1332" t="s">
        <v>3967</v>
      </c>
      <c r="B4" s="1333"/>
      <c r="C4" s="1334"/>
      <c r="D4" s="4170"/>
      <c r="E4" s="4171"/>
      <c r="F4" s="4171"/>
      <c r="G4" s="4171"/>
      <c r="H4" s="4171"/>
      <c r="I4" s="4171"/>
      <c r="J4" s="4172" t="s">
        <v>4008</v>
      </c>
      <c r="K4" s="4173"/>
    </row>
    <row r="5" spans="1:11" ht="15" customHeight="1" thickBot="1">
      <c r="A5" s="1335" t="s">
        <v>3968</v>
      </c>
      <c r="B5" s="1336"/>
      <c r="C5" s="1337"/>
      <c r="D5" s="4176"/>
      <c r="E5" s="4177"/>
      <c r="F5" s="4177"/>
      <c r="G5" s="4177"/>
      <c r="H5" s="4177"/>
      <c r="I5" s="4177"/>
      <c r="J5" s="4174"/>
      <c r="K5" s="4175"/>
    </row>
    <row r="6" spans="1:11" ht="9" customHeight="1" thickBot="1">
      <c r="E6" s="1327"/>
    </row>
    <row r="7" spans="1:11">
      <c r="A7" s="4184" t="s">
        <v>3970</v>
      </c>
      <c r="B7" s="4185"/>
      <c r="C7" s="4185"/>
      <c r="D7" s="4185"/>
      <c r="E7" s="4185"/>
      <c r="F7" s="4185"/>
      <c r="G7" s="4185"/>
      <c r="H7" s="4185"/>
      <c r="I7" s="4185"/>
      <c r="J7" s="4185"/>
      <c r="K7" s="4186"/>
    </row>
    <row r="8" spans="1:11" ht="14.25" customHeight="1">
      <c r="A8" s="1333"/>
      <c r="B8" s="1333"/>
      <c r="C8" s="1567">
        <v>1</v>
      </c>
      <c r="D8" s="1352" t="s">
        <v>3971</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3972</v>
      </c>
      <c r="B10" s="4188"/>
      <c r="C10" s="4188"/>
      <c r="D10" s="4188"/>
      <c r="E10" s="4188"/>
      <c r="F10" s="4188"/>
      <c r="G10" s="4188"/>
      <c r="H10" s="4188"/>
      <c r="I10" s="4188"/>
      <c r="J10" s="4188"/>
      <c r="K10" s="4189"/>
    </row>
    <row r="11" spans="1:11" ht="14.25" customHeight="1">
      <c r="A11" s="1333"/>
      <c r="B11" s="1333"/>
      <c r="C11" s="1567">
        <v>2</v>
      </c>
      <c r="D11" s="1352" t="s">
        <v>3973</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3974</v>
      </c>
      <c r="B13" s="4188"/>
      <c r="C13" s="4188"/>
      <c r="D13" s="4188"/>
      <c r="E13" s="4188"/>
      <c r="F13" s="4188"/>
      <c r="G13" s="4188"/>
      <c r="H13" s="4188"/>
      <c r="I13" s="4188"/>
      <c r="J13" s="4188"/>
      <c r="K13" s="4189"/>
    </row>
    <row r="14" spans="1:11" ht="14.25" customHeight="1">
      <c r="A14" s="1333"/>
      <c r="B14" s="1333"/>
      <c r="C14" s="1568">
        <v>3</v>
      </c>
      <c r="D14" s="1356" t="s">
        <v>3975</v>
      </c>
      <c r="E14" s="1356"/>
      <c r="F14" s="1356"/>
      <c r="G14" s="1356"/>
      <c r="H14" s="1356"/>
      <c r="I14" s="1356"/>
      <c r="J14" s="4178"/>
      <c r="K14" s="4179"/>
    </row>
    <row r="15" spans="1:11" ht="14.25" customHeight="1">
      <c r="A15" s="1333"/>
      <c r="B15" s="1333"/>
      <c r="C15" s="1569">
        <v>4</v>
      </c>
      <c r="D15" s="1333" t="s">
        <v>3976</v>
      </c>
      <c r="E15" s="1333"/>
      <c r="F15" s="1333"/>
      <c r="G15" s="1333"/>
      <c r="H15" s="1333"/>
      <c r="I15" s="1333"/>
      <c r="J15" s="4119"/>
      <c r="K15" s="4120"/>
    </row>
    <row r="16" spans="1:11" ht="14.25" customHeight="1">
      <c r="A16" s="1333"/>
      <c r="B16" s="1333"/>
      <c r="C16" s="1569">
        <v>5</v>
      </c>
      <c r="D16" s="1333" t="s">
        <v>3977</v>
      </c>
      <c r="E16" s="1333"/>
      <c r="F16" s="1333"/>
      <c r="G16" s="1333"/>
      <c r="H16" s="1333"/>
      <c r="I16" s="1333"/>
      <c r="J16" s="4119"/>
      <c r="K16" s="4120"/>
    </row>
    <row r="17" spans="1:13" ht="14.25" customHeight="1">
      <c r="A17" s="1333"/>
      <c r="B17" s="1333"/>
      <c r="C17" s="1570">
        <v>6</v>
      </c>
      <c r="D17" s="1336" t="s">
        <v>3978</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3979</v>
      </c>
      <c r="E19" s="1356"/>
      <c r="F19" s="1356"/>
      <c r="G19" s="1356"/>
      <c r="H19" s="1356"/>
      <c r="I19" s="1356"/>
      <c r="J19" s="4115" t="str">
        <f>IF(J17="No",J14-J15,IF(J17="Yes",J14-J15-J16,"Error"))</f>
        <v>Error</v>
      </c>
      <c r="K19" s="4116"/>
    </row>
    <row r="20" spans="1:13" ht="14.25" customHeight="1">
      <c r="A20" s="1333"/>
      <c r="B20" s="1333"/>
      <c r="C20" s="1570">
        <v>8</v>
      </c>
      <c r="D20" s="1336" t="s">
        <v>3980</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3981</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4012</v>
      </c>
      <c r="B30" s="4155"/>
      <c r="C30" s="4155"/>
      <c r="D30" s="4155"/>
      <c r="E30" s="4155"/>
      <c r="F30" s="4155"/>
      <c r="G30" s="4155"/>
      <c r="H30" s="4155"/>
      <c r="I30" s="4155"/>
      <c r="J30" s="4155"/>
      <c r="K30" s="4156"/>
    </row>
    <row r="31" spans="1:13">
      <c r="B31" s="4157" t="s">
        <v>6169</v>
      </c>
      <c r="C31" s="4157"/>
      <c r="D31" s="4157"/>
      <c r="E31" s="4157"/>
      <c r="F31" s="4157"/>
      <c r="G31" s="4158" t="s">
        <v>3983</v>
      </c>
      <c r="H31" s="4159"/>
      <c r="I31" s="4159"/>
      <c r="J31" s="4159"/>
      <c r="K31" s="4160"/>
    </row>
    <row r="32" spans="1:13" ht="56.25" customHeight="1">
      <c r="A32" s="1351"/>
      <c r="B32" s="1369" t="s">
        <v>4011</v>
      </c>
      <c r="C32" s="1370" t="s">
        <v>4007</v>
      </c>
      <c r="D32" s="1370" t="s">
        <v>4006</v>
      </c>
      <c r="E32" s="4161" t="s">
        <v>6097</v>
      </c>
      <c r="F32" s="4162"/>
      <c r="G32" s="1371" t="s">
        <v>3984</v>
      </c>
      <c r="H32" s="1371" t="s">
        <v>3985</v>
      </c>
      <c r="J32" s="1371" t="s">
        <v>3986</v>
      </c>
      <c r="K32" s="1371" t="s">
        <v>3987</v>
      </c>
      <c r="L32" s="4163" t="s">
        <v>3988</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3989</v>
      </c>
      <c r="H52" s="1372" t="e">
        <f>SUM(H33:H51)</f>
        <v>#VALUE!</v>
      </c>
      <c r="I52" s="1356"/>
      <c r="J52" s="1362" t="s">
        <v>3990</v>
      </c>
      <c r="K52" s="1358" t="e">
        <f>SUM(K33:K51)</f>
        <v>#VALUE!</v>
      </c>
      <c r="L52" s="4163"/>
      <c r="M52" s="4163"/>
    </row>
    <row r="53" spans="1:13" ht="15" customHeight="1">
      <c r="B53" s="1363"/>
      <c r="C53" s="4149" t="s">
        <v>3991</v>
      </c>
      <c r="D53" s="4149"/>
      <c r="E53" s="4149"/>
      <c r="F53" s="4149"/>
      <c r="G53" s="4149"/>
      <c r="H53" s="4149"/>
      <c r="I53" s="4149"/>
      <c r="J53" s="4150"/>
      <c r="K53" s="1364" t="str">
        <f>IF(J17="no",0,IF(J17="yes",J16,"Error"))</f>
        <v>Error</v>
      </c>
      <c r="L53" s="4163"/>
      <c r="M53" s="4163"/>
    </row>
    <row r="54" spans="1:13" ht="15" customHeight="1" thickBot="1">
      <c r="B54" s="1363"/>
      <c r="C54" s="4151" t="s">
        <v>3992</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3993</v>
      </c>
      <c r="B56" s="4125"/>
      <c r="C56" s="4125"/>
      <c r="D56" s="4125"/>
      <c r="E56" s="4125"/>
      <c r="F56" s="4125"/>
      <c r="G56" s="4125"/>
      <c r="H56" s="4125"/>
      <c r="I56" s="4125"/>
      <c r="J56" s="4125"/>
      <c r="K56" s="4126"/>
    </row>
    <row r="57" spans="1:13" ht="48" customHeight="1">
      <c r="A57" s="1348"/>
      <c r="B57" s="1339"/>
      <c r="C57" s="1350" t="s">
        <v>3994</v>
      </c>
      <c r="D57" s="1483" t="s">
        <v>6062</v>
      </c>
      <c r="E57" s="4136" t="s">
        <v>4010</v>
      </c>
      <c r="F57" s="4137"/>
      <c r="G57" s="4138" t="s">
        <v>3995</v>
      </c>
      <c r="H57" s="4139"/>
      <c r="I57" s="4136" t="s">
        <v>4009</v>
      </c>
      <c r="J57" s="4137"/>
      <c r="K57" s="4140"/>
    </row>
    <row r="58" spans="1:13" ht="15" customHeight="1">
      <c r="A58" s="1465"/>
      <c r="B58" s="1381"/>
      <c r="C58" s="1359">
        <f>SUMIF(C33:C51, "0", H33:H51)</f>
        <v>0</v>
      </c>
      <c r="D58" s="1484">
        <f t="shared" ref="D58:D63" si="4">ROUNDUP(C58*1.1,0)</f>
        <v>0</v>
      </c>
      <c r="E58" s="4142" t="s">
        <v>3996</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3997</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3998</v>
      </c>
      <c r="F63" s="4134"/>
      <c r="G63" s="4130">
        <f>'DCA Underwriting Assumptions'!H133</f>
        <v>316236</v>
      </c>
      <c r="H63" s="4131"/>
      <c r="I63" s="4135">
        <f t="shared" si="5"/>
        <v>0</v>
      </c>
      <c r="J63" s="4135"/>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23"/>
      <c r="B65" s="4123"/>
      <c r="C65" s="4123"/>
      <c r="D65" s="4123"/>
      <c r="E65" s="4123"/>
      <c r="F65" s="4123"/>
      <c r="G65" s="4123"/>
      <c r="H65" s="4123"/>
      <c r="I65" s="4123"/>
      <c r="J65" s="4123"/>
    </row>
    <row r="66" spans="1:11">
      <c r="A66" s="4124" t="s">
        <v>4001</v>
      </c>
      <c r="B66" s="4125"/>
      <c r="C66" s="4125"/>
      <c r="D66" s="4125"/>
      <c r="E66" s="4125"/>
      <c r="F66" s="4125"/>
      <c r="G66" s="4125"/>
      <c r="H66" s="4125"/>
      <c r="I66" s="4125"/>
      <c r="J66" s="4125"/>
      <c r="K66" s="4126"/>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27" t="s">
        <v>4005</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Freedom's Path Augusta III, Augusta, Richmond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6529</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6528</v>
      </c>
      <c r="M5" s="1807" t="str">
        <f>'Part I-Project Identification'!$F$12</f>
        <v>9% Credit Competitive Round only</v>
      </c>
      <c r="N5" s="1808"/>
      <c r="O5" s="1809"/>
      <c r="P5" s="4322"/>
      <c r="Q5" s="4368"/>
      <c r="R5" s="1604"/>
      <c r="S5" s="1604"/>
    </row>
    <row r="6" spans="1:19" ht="17.25" customHeight="1">
      <c r="A6" s="96" t="s">
        <v>6527</v>
      </c>
      <c r="I6" s="490"/>
      <c r="J6" s="490"/>
      <c r="K6" s="4317" t="s">
        <v>3280</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6631</v>
      </c>
      <c r="C27" s="100"/>
      <c r="D27" s="66"/>
      <c r="E27" s="66"/>
      <c r="F27" s="66"/>
      <c r="G27" s="66"/>
      <c r="I27" s="891"/>
      <c r="J27" s="891"/>
      <c r="K27" s="891"/>
      <c r="L27" s="686"/>
      <c r="M27" s="686"/>
      <c r="O27" s="101" t="s">
        <v>1731</v>
      </c>
      <c r="P27" s="4199"/>
      <c r="Q27" s="4200"/>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6639</v>
      </c>
      <c r="C35" s="4"/>
      <c r="D35" s="4"/>
      <c r="E35" s="887"/>
      <c r="F35" s="887"/>
      <c r="H35" s="887"/>
      <c r="J35" s="3040" t="s">
        <v>6463</v>
      </c>
      <c r="K35" s="3041"/>
      <c r="L35" s="3042"/>
      <c r="M35" s="147" t="s">
        <v>1647</v>
      </c>
      <c r="N35" s="4190"/>
      <c r="O35" s="4191"/>
      <c r="P35" s="4191"/>
      <c r="Q35" s="4192"/>
    </row>
    <row r="36" spans="1:31" ht="12.75" customHeight="1">
      <c r="A36" s="2"/>
      <c r="B36" s="108" t="s">
        <v>6638</v>
      </c>
      <c r="C36" s="4"/>
      <c r="D36" s="4"/>
      <c r="E36" s="887"/>
      <c r="F36" s="887"/>
      <c r="G36" s="1664"/>
      <c r="H36" s="887"/>
      <c r="J36" s="3040" t="s">
        <v>6464</v>
      </c>
      <c r="K36" s="3041"/>
      <c r="L36" s="3042"/>
      <c r="M36" s="147" t="s">
        <v>1647</v>
      </c>
      <c r="N36" s="4190"/>
      <c r="O36" s="4191"/>
      <c r="P36" s="4191"/>
      <c r="Q36" s="4192"/>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3787</v>
      </c>
      <c r="M40" s="1319" t="s">
        <v>3788</v>
      </c>
      <c r="O40" s="101" t="s">
        <v>1731</v>
      </c>
      <c r="P40" s="4199"/>
      <c r="Q40" s="4200"/>
    </row>
    <row r="41" spans="1:31" ht="1.5" customHeight="1"/>
    <row r="42" spans="1:31" ht="12" customHeight="1">
      <c r="A42" s="110" t="s">
        <v>1841</v>
      </c>
      <c r="B42" s="4193" t="s">
        <v>3782</v>
      </c>
      <c r="C42" s="4193"/>
      <c r="D42" s="4193"/>
      <c r="E42" s="4193"/>
      <c r="F42" s="4193"/>
      <c r="G42" s="4193"/>
      <c r="H42" s="4193"/>
      <c r="I42" s="4193"/>
      <c r="J42" s="4193"/>
      <c r="K42" s="115"/>
      <c r="L42" s="347" t="s">
        <v>2580</v>
      </c>
      <c r="M42" s="1203">
        <v>2</v>
      </c>
      <c r="N42" s="108" t="s">
        <v>4019</v>
      </c>
      <c r="P42" s="4345"/>
      <c r="Q42" s="4355"/>
    </row>
    <row r="43" spans="1:31" ht="12" customHeight="1">
      <c r="A43" s="110"/>
      <c r="B43" s="4193"/>
      <c r="C43" s="4193"/>
      <c r="D43" s="4193"/>
      <c r="E43" s="4193"/>
      <c r="F43" s="4193"/>
      <c r="G43" s="4193"/>
      <c r="H43" s="4193"/>
      <c r="I43" s="4193"/>
      <c r="J43" s="4193"/>
      <c r="K43" s="115"/>
      <c r="L43" s="347" t="s">
        <v>3786</v>
      </c>
      <c r="M43" s="1204">
        <v>4</v>
      </c>
      <c r="O43" s="111"/>
      <c r="P43" s="4346"/>
      <c r="Q43" s="4356"/>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16"/>
      <c r="M50" s="4217"/>
      <c r="N50" s="4217"/>
      <c r="O50" s="4217"/>
      <c r="P50" s="4217"/>
      <c r="Q50" s="4295"/>
    </row>
    <row r="51" spans="1:31" ht="12.75" customHeight="1">
      <c r="A51" s="112"/>
      <c r="B51" s="372" t="s">
        <v>1448</v>
      </c>
      <c r="C51" s="4193" t="s">
        <v>3792</v>
      </c>
      <c r="D51" s="4193"/>
      <c r="E51" s="4193"/>
      <c r="F51" s="4193"/>
      <c r="G51" s="4193"/>
      <c r="H51" s="4193"/>
      <c r="I51" s="4193"/>
      <c r="J51" s="4193"/>
      <c r="K51" s="4193"/>
      <c r="L51" s="4193"/>
      <c r="M51" s="413"/>
      <c r="N51" s="108" t="s">
        <v>4024</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3944</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3302</v>
      </c>
      <c r="D61" s="103"/>
      <c r="E61" s="103"/>
      <c r="F61" s="103"/>
      <c r="J61" s="48" t="s">
        <v>3303</v>
      </c>
      <c r="K61" s="1531"/>
      <c r="L61" s="1528"/>
      <c r="M61" s="1530"/>
      <c r="N61" s="1529"/>
      <c r="O61" s="877" t="s">
        <v>3388</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3004</v>
      </c>
      <c r="B69" s="29" t="s">
        <v>6105</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3947</v>
      </c>
      <c r="D84" s="4193"/>
      <c r="E84" s="4193"/>
      <c r="F84" s="4193"/>
      <c r="G84" s="4193"/>
      <c r="H84" s="4193"/>
      <c r="I84" s="4193"/>
      <c r="J84" s="4193"/>
      <c r="K84" s="4193"/>
      <c r="L84" s="4193"/>
      <c r="M84" s="4193"/>
      <c r="N84" s="4193"/>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6530</v>
      </c>
      <c r="O92" s="101" t="s">
        <v>1731</v>
      </c>
      <c r="P92" s="4199"/>
      <c r="Q92" s="4200"/>
      <c r="R92" s="860" t="s">
        <v>6517</v>
      </c>
    </row>
    <row r="93" spans="1:31" ht="6.6" customHeight="1"/>
    <row r="94" spans="1:31">
      <c r="A94" s="40" t="s">
        <v>1841</v>
      </c>
      <c r="B94" s="29" t="s">
        <v>6184</v>
      </c>
      <c r="D94" s="103"/>
      <c r="E94" s="103"/>
      <c r="F94" s="103"/>
      <c r="G94" s="103"/>
      <c r="H94" s="103"/>
      <c r="I94" s="35"/>
      <c r="J94" s="35"/>
      <c r="K94" s="48" t="s">
        <v>1841</v>
      </c>
      <c r="L94" s="4238"/>
      <c r="M94" s="4238"/>
      <c r="N94" s="4238"/>
      <c r="O94" s="4238"/>
      <c r="P94" s="4239"/>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4"/>
      <c r="Q105" s="1865"/>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4"/>
      <c r="Q108" s="1865"/>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2500</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6530</v>
      </c>
      <c r="O130" s="101" t="s">
        <v>1731</v>
      </c>
      <c r="P130" s="4199"/>
      <c r="Q130" s="4200"/>
      <c r="R130" s="860" t="s">
        <v>6517</v>
      </c>
    </row>
    <row r="131" spans="1:31" ht="12" customHeight="1">
      <c r="A131" s="40" t="s">
        <v>1841</v>
      </c>
      <c r="B131" s="113" t="s">
        <v>1614</v>
      </c>
      <c r="C131" s="29" t="s">
        <v>6532</v>
      </c>
      <c r="D131" s="29"/>
      <c r="E131" s="29"/>
      <c r="F131" s="29"/>
      <c r="G131" s="29"/>
      <c r="K131" s="29" t="s">
        <v>2460</v>
      </c>
      <c r="M131" s="4302"/>
      <c r="N131" s="4303"/>
      <c r="O131" s="49" t="s">
        <v>1614</v>
      </c>
      <c r="P131" s="74"/>
      <c r="Q131" s="417"/>
    </row>
    <row r="132" spans="1:31" ht="12" customHeight="1">
      <c r="A132" s="40"/>
      <c r="B132" s="113" t="s">
        <v>1615</v>
      </c>
      <c r="C132" s="29" t="s">
        <v>4053</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75</v>
      </c>
      <c r="L133" s="48" t="s">
        <v>1843</v>
      </c>
      <c r="M133" s="4304" t="s">
        <v>6839</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6190</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3232</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3797</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3233</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3830</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6" t="s">
        <v>2427</v>
      </c>
      <c r="C151" s="3596"/>
      <c r="D151" s="3596"/>
      <c r="E151" s="236"/>
      <c r="N151" s="858" t="s">
        <v>6530</v>
      </c>
      <c r="O151" s="101" t="s">
        <v>1731</v>
      </c>
      <c r="P151" s="4199"/>
      <c r="Q151" s="4200"/>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3234</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3304</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6530</v>
      </c>
      <c r="O169" s="101" t="s">
        <v>1731</v>
      </c>
      <c r="P169" s="4199"/>
      <c r="Q169" s="4200"/>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3239</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6530</v>
      </c>
      <c r="O177" s="101" t="s">
        <v>1731</v>
      </c>
      <c r="P177" s="4199"/>
      <c r="Q177" s="4200"/>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4026</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6191</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3151</v>
      </c>
      <c r="O197" s="1233">
        <f>'Part V-Revenues &amp; Expenses'!$P$67</f>
        <v>76</v>
      </c>
      <c r="P197" s="4227" t="s">
        <v>3853</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3399</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3399</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86" t="s">
        <v>950</v>
      </c>
      <c r="D202" s="4287"/>
      <c r="E202" s="4287"/>
      <c r="F202" s="4287"/>
      <c r="G202" s="4288"/>
      <c r="H202" s="48" t="s">
        <v>3863</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6742</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6111</v>
      </c>
      <c r="C217" s="33"/>
      <c r="D217" s="887"/>
      <c r="E217" s="887"/>
      <c r="F217" s="887"/>
      <c r="G217" s="887"/>
      <c r="H217" s="887"/>
      <c r="I217" s="887"/>
      <c r="J217" s="887"/>
      <c r="K217" s="396" t="s">
        <v>6738</v>
      </c>
      <c r="L217" s="1326" t="str">
        <f>'Part I-Project Identification'!$P$25</f>
        <v>Yes</v>
      </c>
      <c r="M217" s="887"/>
      <c r="O217" s="101" t="s">
        <v>1731</v>
      </c>
      <c r="P217" s="4199"/>
      <c r="Q217" s="4200"/>
    </row>
    <row r="218" spans="1:44" ht="11.25" customHeight="1">
      <c r="A218" s="110" t="s">
        <v>1841</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6117</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6113</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3949</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6193</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6204</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6205</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3307</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3244</v>
      </c>
      <c r="C246" s="4223"/>
      <c r="D246" s="4223"/>
      <c r="E246" s="44" t="s">
        <v>3380</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3381</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3382</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3383</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6500</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3368</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4028</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4054</v>
      </c>
      <c r="D260" s="4193"/>
      <c r="E260" s="4193"/>
      <c r="F260" s="4193"/>
      <c r="G260" s="4193"/>
      <c r="H260" s="4193"/>
      <c r="I260" s="4193"/>
      <c r="J260" s="4193"/>
      <c r="K260" s="4193"/>
      <c r="L260" s="4193"/>
      <c r="M260" s="4193"/>
      <c r="N260" s="4193"/>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6118</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3369</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6196</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3845</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3335</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3367</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3384</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6654</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6655</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6199</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3291</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6202</v>
      </c>
      <c r="E288" s="4193"/>
      <c r="F288" s="4193"/>
      <c r="G288" s="4193"/>
      <c r="H288" s="4193"/>
      <c r="I288" s="108"/>
      <c r="J288" s="4201" t="s">
        <v>3265</v>
      </c>
      <c r="K288" s="4227"/>
      <c r="L288" s="4227"/>
      <c r="M288" s="4331" t="s">
        <v>3246</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3385</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6203</v>
      </c>
      <c r="E291" s="4193"/>
      <c r="F291" s="4193"/>
      <c r="G291" s="4193"/>
      <c r="H291" s="4193"/>
      <c r="I291" s="370" t="s">
        <v>3386</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6739</v>
      </c>
      <c r="D293" s="4193"/>
      <c r="E293" s="4193"/>
      <c r="F293" s="4193"/>
      <c r="G293" s="4193"/>
      <c r="H293" s="4193"/>
      <c r="I293" s="29" t="s">
        <v>3387</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6717</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6656</v>
      </c>
      <c r="D299" s="4193"/>
      <c r="E299" s="4193"/>
      <c r="F299" s="4193"/>
      <c r="G299" s="4193"/>
      <c r="H299" s="4193"/>
      <c r="I299" s="4193"/>
      <c r="J299" s="4193"/>
      <c r="K299" s="4193"/>
      <c r="L299" s="4193"/>
      <c r="M299" s="4193"/>
      <c r="N299" s="4193"/>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3831</v>
      </c>
      <c r="D300" s="4193"/>
      <c r="E300" s="4193"/>
      <c r="F300" s="4193"/>
      <c r="G300" s="4193"/>
      <c r="H300" s="4193"/>
      <c r="I300" s="4193"/>
      <c r="J300" s="4193"/>
      <c r="K300" s="4193"/>
      <c r="L300" s="4193"/>
      <c r="M300" s="4193"/>
      <c r="N300" s="4193"/>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3168</v>
      </c>
      <c r="D301" s="4193"/>
      <c r="E301" s="4193"/>
      <c r="F301" s="4193"/>
      <c r="G301" s="4193"/>
      <c r="H301" s="4193"/>
      <c r="I301" s="4193"/>
      <c r="J301" s="4193"/>
      <c r="K301" s="4193"/>
      <c r="L301" s="4193"/>
      <c r="M301" s="4193"/>
      <c r="N301" s="4193"/>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3169</v>
      </c>
      <c r="D302" s="4193"/>
      <c r="E302" s="4193"/>
      <c r="F302" s="4193"/>
      <c r="G302" s="4193"/>
      <c r="H302" s="4193"/>
      <c r="I302" s="4193"/>
      <c r="J302" s="4193"/>
      <c r="K302" s="4193"/>
      <c r="L302" s="4193"/>
      <c r="M302" s="4193"/>
      <c r="N302" s="4193"/>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3370</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6666</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219" t="s">
        <v>6120</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6121</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3371</v>
      </c>
      <c r="B326" s="153" t="s">
        <v>6531</v>
      </c>
      <c r="C326" s="2"/>
      <c r="D326" s="887"/>
      <c r="E326" s="887"/>
      <c r="F326" s="887"/>
      <c r="G326" s="887"/>
      <c r="H326" s="887"/>
      <c r="N326" s="858" t="s">
        <v>6530</v>
      </c>
      <c r="O326" s="101" t="s">
        <v>1731</v>
      </c>
      <c r="P326" s="4199"/>
      <c r="Q326" s="4200"/>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9"/>
      <c r="Q328" s="687"/>
    </row>
    <row r="329" spans="1:256" ht="11.65" customHeight="1">
      <c r="A329" s="110" t="s">
        <v>698</v>
      </c>
      <c r="B329" s="44" t="s">
        <v>6534</v>
      </c>
      <c r="K329" s="231"/>
      <c r="M329" s="128" t="s">
        <v>698</v>
      </c>
      <c r="N329" s="4268" t="s">
        <v>1646</v>
      </c>
      <c r="O329" s="4269"/>
      <c r="P329" s="4270" t="s">
        <v>1646</v>
      </c>
      <c r="Q329" s="4271"/>
    </row>
    <row r="330" spans="1:256" ht="11.65" customHeight="1">
      <c r="A330" s="40" t="s">
        <v>1962</v>
      </c>
      <c r="B330" s="44" t="s">
        <v>6535</v>
      </c>
      <c r="O330" s="48" t="s">
        <v>1962</v>
      </c>
      <c r="P330" s="1400"/>
      <c r="Q330" s="1399"/>
    </row>
    <row r="331" spans="1:256" ht="11.65" customHeight="1">
      <c r="A331" s="110" t="s">
        <v>1612</v>
      </c>
      <c r="B331" s="44" t="s">
        <v>6536</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3374</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193" t="s">
        <v>6684</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76</v>
      </c>
      <c r="F343" s="29" t="s">
        <v>3892</v>
      </c>
      <c r="G343" s="1541">
        <f>'Part V-Revenues &amp; Expenses'!$P$100</f>
        <v>25</v>
      </c>
      <c r="H343" s="72"/>
      <c r="I343" s="29" t="s">
        <v>832</v>
      </c>
      <c r="J343" s="72"/>
      <c r="K343" s="72"/>
      <c r="L343" s="1540">
        <f>'Part V-Revenues &amp; Expenses'!$P$111</f>
        <v>0</v>
      </c>
      <c r="M343" s="48" t="s">
        <v>6740</v>
      </c>
      <c r="N343" s="1539">
        <f>IF(E343=0,"",(G343+L343)/E343)</f>
        <v>0.32894736842105265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6685</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76</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6686</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76</v>
      </c>
      <c r="F348" s="29" t="s">
        <v>3892</v>
      </c>
      <c r="G348" s="1541">
        <f>'Part V-Revenues &amp; Expenses'!$P$100</f>
        <v>25</v>
      </c>
      <c r="H348" s="72"/>
      <c r="I348" s="29" t="s">
        <v>832</v>
      </c>
      <c r="J348" s="72"/>
      <c r="K348" s="72"/>
      <c r="L348" s="1540">
        <f>'Part V-Revenues &amp; Expenses'!$P$111</f>
        <v>0</v>
      </c>
      <c r="M348" s="48" t="s">
        <v>6740</v>
      </c>
      <c r="N348" s="1539">
        <f>IF(E348=0,"",(G348+L348)/E348)</f>
        <v>0.32894736842105265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3357</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3358</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3349</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3350</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3352</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3353</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3004</v>
      </c>
      <c r="B363" s="4193" t="s">
        <v>3354</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3355</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3376</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3201</v>
      </c>
      <c r="G374" s="889"/>
      <c r="H374" s="889"/>
      <c r="I374" s="889"/>
      <c r="J374" s="33" t="s">
        <v>3202</v>
      </c>
      <c r="L374" s="889"/>
      <c r="M374" s="4260">
        <f>'Part II-Sources of Funds'!I6</f>
        <v>0</v>
      </c>
      <c r="N374" s="4261"/>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3377</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3378</v>
      </c>
      <c r="B391" s="4" t="s">
        <v>3937</v>
      </c>
      <c r="C391" s="4"/>
      <c r="D391" s="4"/>
      <c r="E391" s="4"/>
      <c r="F391" s="4"/>
      <c r="G391" s="4"/>
      <c r="H391" s="887"/>
      <c r="I391" s="887"/>
      <c r="J391" s="887"/>
      <c r="K391" s="887"/>
      <c r="L391" s="887"/>
      <c r="M391" s="887"/>
      <c r="O391" s="101" t="s">
        <v>1731</v>
      </c>
      <c r="P391" s="4213"/>
      <c r="Q391" s="4214"/>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293"/>
      <c r="Q395" s="4291"/>
    </row>
    <row r="396" spans="1:31" ht="12" customHeight="1">
      <c r="A396" s="40"/>
      <c r="D396" s="29" t="s">
        <v>6499</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6149</v>
      </c>
      <c r="D400" s="4193"/>
      <c r="E400" s="4193"/>
      <c r="F400" s="4193"/>
      <c r="G400" s="29" t="s">
        <v>3941</v>
      </c>
      <c r="J400" s="718"/>
      <c r="K400" s="426"/>
      <c r="M400" s="29" t="s">
        <v>6223</v>
      </c>
      <c r="P400" s="1760"/>
      <c r="Q400" s="1761"/>
    </row>
    <row r="401" spans="1:44" ht="12" customHeight="1">
      <c r="A401" s="40"/>
      <c r="C401" s="4193"/>
      <c r="D401" s="4193"/>
      <c r="E401" s="4193"/>
      <c r="F401" s="4193"/>
      <c r="G401" s="29" t="s">
        <v>6222</v>
      </c>
      <c r="J401" s="719"/>
      <c r="K401" s="427"/>
      <c r="M401" s="29" t="s">
        <v>6224</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6179</v>
      </c>
      <c r="J403" s="4201" t="s">
        <v>6180</v>
      </c>
      <c r="K403" s="4201" t="s">
        <v>6182</v>
      </c>
      <c r="L403" s="4201"/>
      <c r="M403" s="4201"/>
      <c r="N403" s="4240" t="s">
        <v>6181</v>
      </c>
      <c r="O403" s="48"/>
      <c r="P403" s="4364" t="s">
        <v>6696</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6293</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6294</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198" t="s">
        <v>6227</v>
      </c>
      <c r="E416" s="352" t="s">
        <v>2263</v>
      </c>
      <c r="F416" s="44" t="s">
        <v>3287</v>
      </c>
      <c r="G416" s="4194"/>
      <c r="H416" s="4195"/>
      <c r="I416" s="4195"/>
      <c r="J416" s="4195"/>
      <c r="K416" s="4196"/>
      <c r="L416" s="352"/>
    </row>
    <row r="417" spans="1:31" ht="12" customHeight="1">
      <c r="B417" s="115"/>
      <c r="D417" s="4198"/>
      <c r="E417" s="352" t="s">
        <v>3938</v>
      </c>
      <c r="F417" s="44" t="s">
        <v>3939</v>
      </c>
      <c r="G417" s="4251" t="s">
        <v>3204</v>
      </c>
      <c r="H417" s="4252"/>
      <c r="I417" s="4253"/>
      <c r="J417" s="44" t="s">
        <v>3800</v>
      </c>
      <c r="K417" s="115"/>
      <c r="M417" s="4194"/>
      <c r="N417" s="4195"/>
      <c r="O417" s="4195"/>
      <c r="P417" s="4195"/>
      <c r="Q417" s="4196"/>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4032</v>
      </c>
      <c r="C421" s="4193"/>
      <c r="D421" s="4193"/>
      <c r="E421" s="4193"/>
      <c r="F421" s="4193"/>
      <c r="G421" s="4193"/>
      <c r="H421" s="4193"/>
      <c r="I421" s="4193"/>
      <c r="J421" s="4193"/>
      <c r="K421" s="4193"/>
      <c r="L421" s="4193"/>
      <c r="M421" s="4193"/>
      <c r="N421" s="4193"/>
    </row>
    <row r="422" spans="1:31" s="115" customFormat="1" ht="45" customHeight="1">
      <c r="B422" s="4193" t="s">
        <v>6541</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3239</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3379</v>
      </c>
      <c r="B428" s="4" t="s">
        <v>2508</v>
      </c>
      <c r="C428" s="4"/>
      <c r="D428" s="66"/>
      <c r="E428" s="887"/>
      <c r="F428" s="887"/>
      <c r="G428" s="887"/>
      <c r="H428" s="887"/>
      <c r="O428" s="101" t="s">
        <v>1731</v>
      </c>
      <c r="P428" s="4199"/>
      <c r="Q428" s="4200"/>
    </row>
    <row r="429" spans="1:31" ht="14.1" customHeight="1">
      <c r="B429" s="66" t="s">
        <v>3895</v>
      </c>
      <c r="C429" s="4"/>
      <c r="D429" s="66"/>
      <c r="E429" s="887"/>
      <c r="F429" s="887"/>
      <c r="G429" s="887"/>
      <c r="H429" s="887"/>
    </row>
    <row r="430" spans="1:31" s="102" customFormat="1" ht="21.75" customHeight="1">
      <c r="A430" s="110" t="s">
        <v>1841</v>
      </c>
      <c r="B430" s="4193" t="s">
        <v>3310</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3309</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3865</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3867</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3868</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3311</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3916</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3917</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3950</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4044</v>
      </c>
      <c r="P456" s="1876"/>
      <c r="R456" s="44"/>
    </row>
    <row r="457" spans="1:18" s="807" customFormat="1" ht="11.25">
      <c r="A457" s="44"/>
      <c r="B457" s="44"/>
      <c r="C457" s="1877" t="s">
        <v>1312</v>
      </c>
      <c r="J457" s="1875" t="s">
        <v>1953</v>
      </c>
      <c r="N457" s="808"/>
      <c r="O457" s="1875" t="s">
        <v>4045</v>
      </c>
      <c r="P457" s="1876"/>
      <c r="R457" s="44"/>
    </row>
    <row r="458" spans="1:18" s="807" customFormat="1" ht="11.25">
      <c r="A458" s="44"/>
      <c r="B458" s="44"/>
      <c r="C458" s="1877" t="s">
        <v>1313</v>
      </c>
      <c r="J458" s="1875" t="s">
        <v>1537</v>
      </c>
      <c r="N458" s="808"/>
      <c r="O458" s="1875" t="s">
        <v>4046</v>
      </c>
      <c r="P458" s="1876"/>
      <c r="R458" s="44"/>
    </row>
    <row r="459" spans="1:18" s="807" customFormat="1" ht="11.25">
      <c r="A459" s="44"/>
      <c r="B459" s="44"/>
      <c r="C459" s="1877" t="s">
        <v>1980</v>
      </c>
      <c r="J459" s="1875" t="s">
        <v>1120</v>
      </c>
      <c r="N459" s="808"/>
      <c r="O459" s="1875" t="s">
        <v>4050</v>
      </c>
      <c r="P459" s="1876"/>
      <c r="R459" s="44"/>
    </row>
    <row r="460" spans="1:18" s="807" customFormat="1" ht="11.25">
      <c r="A460" s="44"/>
      <c r="B460" s="44"/>
      <c r="C460" s="1877" t="s">
        <v>1309</v>
      </c>
      <c r="J460" s="1875" t="s">
        <v>549</v>
      </c>
      <c r="N460" s="808"/>
      <c r="O460" s="1875" t="s">
        <v>4047</v>
      </c>
      <c r="P460" s="1876"/>
      <c r="R460" s="44"/>
    </row>
    <row r="461" spans="1:18" s="807" customFormat="1" ht="11.25">
      <c r="A461" s="44"/>
      <c r="B461" s="44"/>
      <c r="C461" s="1877" t="s">
        <v>1310</v>
      </c>
      <c r="J461" s="1875" t="s">
        <v>1543</v>
      </c>
      <c r="N461" s="808"/>
      <c r="O461" s="1875" t="s">
        <v>4048</v>
      </c>
      <c r="P461" s="1876"/>
      <c r="R461" s="44"/>
    </row>
    <row r="462" spans="1:18" s="807" customFormat="1" ht="11.25">
      <c r="A462" s="44"/>
      <c r="B462" s="44"/>
      <c r="C462" s="1877" t="s">
        <v>1975</v>
      </c>
      <c r="J462" s="1875" t="s">
        <v>1117</v>
      </c>
      <c r="N462" s="808"/>
      <c r="O462" s="1875" t="s">
        <v>4049</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6200</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1965</v>
      </c>
      <c r="K497" s="807" t="s">
        <v>6201</v>
      </c>
      <c r="R497" s="44"/>
    </row>
    <row r="498" spans="1:18" s="807" customFormat="1" ht="11.25">
      <c r="A498" s="44"/>
      <c r="B498" s="44"/>
      <c r="C498" s="807" t="s">
        <v>162</v>
      </c>
      <c r="K498" s="807" t="s">
        <v>6304</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3850</v>
      </c>
      <c r="R506" s="44"/>
    </row>
    <row r="507" spans="1:18" s="807" customFormat="1" ht="11.25">
      <c r="A507" s="44"/>
      <c r="B507" s="44"/>
      <c r="C507" s="807" t="s">
        <v>950</v>
      </c>
      <c r="M507" s="807" t="s">
        <v>950</v>
      </c>
      <c r="R507" s="44"/>
    </row>
    <row r="508" spans="1:18" s="807" customFormat="1" ht="11.25">
      <c r="A508" s="44"/>
      <c r="B508" s="44"/>
      <c r="C508" s="807" t="s">
        <v>1938</v>
      </c>
      <c r="M508" s="807" t="s">
        <v>3847</v>
      </c>
      <c r="R508" s="44"/>
    </row>
    <row r="509" spans="1:18" s="807" customFormat="1" ht="11.25">
      <c r="A509" s="44"/>
      <c r="B509" s="44"/>
      <c r="C509" s="807" t="s">
        <v>2341</v>
      </c>
      <c r="M509" s="807" t="s">
        <v>3878</v>
      </c>
      <c r="R509" s="44"/>
    </row>
    <row r="510" spans="1:18" s="807" customFormat="1" ht="11.25">
      <c r="A510" s="44"/>
      <c r="B510" s="44"/>
      <c r="C510" s="807" t="s">
        <v>1939</v>
      </c>
      <c r="M510" s="807" t="s">
        <v>1540</v>
      </c>
      <c r="R510" s="44"/>
    </row>
    <row r="511" spans="1:18" s="807" customFormat="1" ht="11.25">
      <c r="A511" s="44"/>
      <c r="B511" s="44"/>
      <c r="C511" s="807" t="s">
        <v>1810</v>
      </c>
      <c r="M511" s="807" t="s">
        <v>3848</v>
      </c>
      <c r="R511" s="44"/>
    </row>
    <row r="512" spans="1:18" s="807" customFormat="1" ht="11.25">
      <c r="A512" s="44"/>
      <c r="B512" s="44"/>
      <c r="C512" s="807" t="s">
        <v>548</v>
      </c>
      <c r="M512" s="807" t="s">
        <v>3897</v>
      </c>
      <c r="R512" s="44"/>
    </row>
    <row r="513" spans="1:18" s="807" customFormat="1" ht="11.25">
      <c r="A513" s="44"/>
      <c r="B513" s="44"/>
      <c r="C513" s="807" t="s">
        <v>2035</v>
      </c>
      <c r="M513" s="807" t="s">
        <v>3898</v>
      </c>
      <c r="R513" s="44"/>
    </row>
    <row r="514" spans="1:18" s="807" customFormat="1" ht="11.25">
      <c r="A514" s="44"/>
      <c r="B514" s="44"/>
      <c r="C514" s="807" t="s">
        <v>30</v>
      </c>
      <c r="M514" s="807" t="s">
        <v>3849</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3335</v>
      </c>
      <c r="R519" s="44"/>
    </row>
    <row r="520" spans="1:18" s="807" customFormat="1" ht="11.25">
      <c r="A520" s="44"/>
      <c r="B520" s="44"/>
      <c r="M520" s="807" t="s">
        <v>3330</v>
      </c>
      <c r="R520" s="44"/>
    </row>
    <row r="521" spans="1:18" s="807" customFormat="1" ht="11.25">
      <c r="A521" s="44"/>
      <c r="B521" s="44"/>
      <c r="M521" s="807" t="s">
        <v>3253</v>
      </c>
      <c r="R521" s="44"/>
    </row>
    <row r="522" spans="1:18" s="807" customFormat="1" ht="11.25">
      <c r="A522" s="44"/>
      <c r="B522" s="44"/>
      <c r="M522" s="807" t="s">
        <v>3326</v>
      </c>
      <c r="R522" s="44"/>
    </row>
    <row r="523" spans="1:18" s="807" customFormat="1" ht="11.25">
      <c r="A523" s="44"/>
      <c r="B523" s="44"/>
      <c r="D523" s="1879" t="s">
        <v>1888</v>
      </c>
      <c r="M523" s="807" t="s">
        <v>3254</v>
      </c>
      <c r="R523" s="44"/>
    </row>
    <row r="524" spans="1:18" s="807" customFormat="1">
      <c r="A524" s="44"/>
      <c r="B524" s="44"/>
      <c r="J524" s="357"/>
      <c r="M524" s="807" t="s">
        <v>3327</v>
      </c>
      <c r="R524" s="44"/>
    </row>
    <row r="525" spans="1:18" s="357" customFormat="1">
      <c r="A525" s="115"/>
      <c r="B525" s="115"/>
      <c r="M525" s="807" t="s">
        <v>3255</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6522</v>
      </c>
      <c r="B2" s="4397"/>
      <c r="C2" s="147"/>
      <c r="D2" s="795">
        <v>2021</v>
      </c>
      <c r="E2" s="144"/>
      <c r="F2" s="4391" t="s">
        <v>2999</v>
      </c>
      <c r="G2" s="4392"/>
      <c r="H2" s="4392"/>
      <c r="I2" s="4392"/>
      <c r="J2" s="4393"/>
      <c r="K2" s="234"/>
      <c r="L2" s="443" t="s">
        <v>3141</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6523</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3164</v>
      </c>
      <c r="L45" s="4423"/>
      <c r="M45" s="4423"/>
      <c r="N45" s="4424"/>
    </row>
    <row r="46" spans="1:295" s="28" customFormat="1" ht="11.25" customHeight="1">
      <c r="A46" s="4407"/>
      <c r="B46" s="4407"/>
      <c r="C46" s="4407"/>
      <c r="D46" s="4407"/>
      <c r="E46" s="4407"/>
      <c r="F46" s="1245"/>
      <c r="G46" s="4425" t="s">
        <v>333</v>
      </c>
      <c r="H46" s="4426"/>
      <c r="I46" s="66"/>
      <c r="J46" s="35"/>
      <c r="K46" s="4400" t="s">
        <v>3165</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3934</v>
      </c>
      <c r="Q47" s="4405"/>
    </row>
    <row r="48" spans="1:295" s="62" customFormat="1" ht="10.5" customHeight="1">
      <c r="D48" s="491" t="s">
        <v>2464</v>
      </c>
      <c r="E48" s="28"/>
      <c r="F48" s="492" t="s">
        <v>3067</v>
      </c>
      <c r="G48" s="4395" t="s">
        <v>3891</v>
      </c>
      <c r="H48" s="4395"/>
      <c r="I48" s="4395"/>
      <c r="J48" s="28"/>
      <c r="K48" s="492" t="s">
        <v>3067</v>
      </c>
      <c r="L48" s="4395" t="s">
        <v>3890</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12" t="str">
        <f>IF('Part I-Project Identification'!$F$26="","",VLOOKUP('Part I-Project Identification'!$J$26,'DCA Underwriting Assumptions'!$G$141:$N$300,8,FALSE))</f>
        <v>Augusta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364" t="s">
        <v>3935</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03">
        <f>'Part III-A-Uses of Funds'!$G$146</f>
        <v>26653520</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3926</v>
      </c>
      <c r="Q54" s="4364"/>
      <c r="R54" s="4394" t="s">
        <v>6298</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26120948</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368" t="s">
        <v>3363</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16"/>
      <c r="Q58" s="4417"/>
      <c r="R58" s="328"/>
      <c r="S58" s="4377" t="s">
        <v>3929</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398" t="s">
        <v>3160</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398" t="s">
        <v>3161</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f>IF('Part V-Revenues &amp; Expenses'!$K$154 =0,"",'Part V-Revenues &amp; Expenses'!$K$154)</f>
        <v>40</v>
      </c>
      <c r="L70" s="661">
        <f>G70*(1+'DCA Underwriting Assumptions'!$Q$12)</f>
        <v>149783.04000000001</v>
      </c>
      <c r="M70" s="33" t="str">
        <f>CONCATENATE("x ", K70," units = ")</f>
        <v xml:space="preserve">x 40 units = </v>
      </c>
      <c r="N70" s="1244">
        <f>IF(K70="","",K70*L70)</f>
        <v>5991321.6000000006</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36</v>
      </c>
      <c r="L71" s="661">
        <f>G71*(1+'DCA Underwriting Assumptions'!$Q$12)</f>
        <v>200959.16500000001</v>
      </c>
      <c r="M71" s="33" t="str">
        <f>CONCATENATE("x ", K71," units = ")</f>
        <v xml:space="preserve">x 36 units = </v>
      </c>
      <c r="N71" s="1244">
        <f>IF(K71="","",K71*L71)</f>
        <v>7234529.9400000004</v>
      </c>
      <c r="O71" s="441"/>
      <c r="P71" s="4408">
        <f>IF(P58&gt;1,P58, IF(OR('Part VIII Scoring Criteria OLD'!$O$113='Part VIII Scoring Criteria OLD'!$M$113,AND('Part III-A-Uses of Funds'!$T$179="Yes",'Part VIII Scoring Criteria OLD'!$O$378&gt;0)),H77+M77,H77))</f>
        <v>0</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386" t="s">
        <v>3447</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76</v>
      </c>
      <c r="L75" s="873"/>
      <c r="M75" s="871"/>
      <c r="N75" s="874">
        <f>SUM(N70:N74)</f>
        <v>13225851.540000001</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0</v>
      </c>
      <c r="G77" s="258"/>
      <c r="H77" s="4396">
        <f>I54+I61+I68+I75</f>
        <v>0</v>
      </c>
      <c r="I77" s="4396"/>
      <c r="J77" s="4396"/>
      <c r="K77" s="486">
        <f>K54+K61+K68+K75</f>
        <v>76</v>
      </c>
      <c r="L77" s="487"/>
      <c r="M77" s="4396">
        <f>N54+N61+N68+N75</f>
        <v>13225851.540000001</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Freedom's Path Augusta III, Augusta, Richmond County</v>
      </c>
      <c r="B1" s="3324"/>
      <c r="C1" s="3324"/>
      <c r="D1" s="3324"/>
      <c r="E1" s="3324"/>
      <c r="F1" s="3324"/>
      <c r="G1" s="3324"/>
      <c r="H1" s="3324"/>
      <c r="I1" s="3324"/>
      <c r="J1" s="3324"/>
      <c r="K1" s="3324"/>
      <c r="L1" s="3324"/>
      <c r="M1" s="3324"/>
      <c r="N1" s="3324"/>
      <c r="O1" s="3324"/>
      <c r="P1" s="3325"/>
      <c r="Q1" s="4428" t="s">
        <v>6643</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6657</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3390</v>
      </c>
      <c r="B12" s="1200" t="s">
        <v>3391</v>
      </c>
      <c r="C12" s="936"/>
      <c r="D12" s="936"/>
      <c r="E12" s="236" t="s">
        <v>3398</v>
      </c>
      <c r="F12" s="4571" t="s">
        <v>6494</v>
      </c>
      <c r="G12" s="4571"/>
      <c r="H12" s="4571"/>
      <c r="I12" s="4571"/>
      <c r="J12" s="4571"/>
      <c r="K12" s="4571"/>
      <c r="L12" s="4571"/>
      <c r="M12" s="4571"/>
      <c r="N12" s="4571"/>
      <c r="O12" s="1201" t="s">
        <v>3808</v>
      </c>
      <c r="P12" s="1202">
        <f>SUM(P13:P31)</f>
        <v>0</v>
      </c>
      <c r="Q12" s="4427" t="s">
        <v>6543</v>
      </c>
      <c r="R12" s="4427"/>
      <c r="S12" s="4427"/>
      <c r="T12" s="4427"/>
      <c r="U12" s="4427"/>
      <c r="V12" s="1179"/>
    </row>
    <row r="13" spans="1:25" s="35" customFormat="1" ht="10.5" customHeight="1">
      <c r="A13" s="924" t="s">
        <v>1668</v>
      </c>
      <c r="B13" s="921" t="s">
        <v>3392</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4036</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3337</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3393</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3394</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4037</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4039</v>
      </c>
      <c r="B19" s="751" t="s">
        <v>3261</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4051</v>
      </c>
      <c r="B20" s="751" t="s">
        <v>4040</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6241</v>
      </c>
      <c r="B21" s="931" t="s">
        <v>4041</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6635</v>
      </c>
      <c r="B22" s="751" t="s">
        <v>6547</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6637</v>
      </c>
      <c r="B23" s="751" t="s">
        <v>6636</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3367</v>
      </c>
      <c r="B24" s="1887" t="s">
        <v>6553</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3371</v>
      </c>
      <c r="B25" s="751" t="s">
        <v>3395</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3374</v>
      </c>
      <c r="B26" s="751" t="s">
        <v>3396</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3375</v>
      </c>
      <c r="B27" s="751" t="s">
        <v>3397</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3377</v>
      </c>
      <c r="B28" s="927" t="s">
        <v>6634</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3378</v>
      </c>
      <c r="B29" s="751" t="s">
        <v>6130</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3801</v>
      </c>
      <c r="B30" s="751" t="s">
        <v>6551</v>
      </c>
      <c r="C30" s="866"/>
      <c r="D30" s="925"/>
      <c r="E30" s="1196">
        <f>$O$428</f>
        <v>0</v>
      </c>
      <c r="F30" s="4447">
        <f>$A$430</f>
        <v>0</v>
      </c>
      <c r="G30" s="4448"/>
      <c r="H30" s="4448"/>
      <c r="I30" s="4448"/>
      <c r="J30" s="4448"/>
      <c r="K30" s="4448"/>
      <c r="L30" s="4448"/>
      <c r="M30" s="4448"/>
      <c r="N30" s="4448"/>
      <c r="O30" s="4449"/>
      <c r="P30" s="1209"/>
      <c r="Q30" s="1964"/>
      <c r="R30" s="1628"/>
      <c r="S30" s="1628"/>
      <c r="AA30" s="3592" t="s">
        <v>6561</v>
      </c>
      <c r="AB30" s="3592"/>
      <c r="AC30" s="3592"/>
      <c r="AD30" s="3592"/>
      <c r="AE30" s="3592"/>
      <c r="AF30" s="3592"/>
    </row>
    <row r="31" spans="1:35" s="35" customFormat="1" ht="10.5" customHeight="1">
      <c r="A31" s="926" t="s">
        <v>6554</v>
      </c>
      <c r="B31" s="927" t="s">
        <v>6552</v>
      </c>
      <c r="C31" s="928"/>
      <c r="D31" s="929"/>
      <c r="E31" s="1624">
        <f>$O$434</f>
        <v>0</v>
      </c>
      <c r="F31" s="4462">
        <f>$A$438</f>
        <v>0</v>
      </c>
      <c r="G31" s="4463"/>
      <c r="H31" s="4463"/>
      <c r="I31" s="4463"/>
      <c r="J31" s="4463"/>
      <c r="K31" s="4463"/>
      <c r="L31" s="4463"/>
      <c r="M31" s="4463"/>
      <c r="N31" s="4463"/>
      <c r="O31" s="4464"/>
      <c r="P31" s="1210"/>
      <c r="Q31" s="1964"/>
      <c r="R31" s="1628"/>
      <c r="S31" s="1628"/>
      <c r="X31" s="3592" t="s">
        <v>6562</v>
      </c>
      <c r="Y31" s="3592"/>
      <c r="Z31" s="3592"/>
      <c r="AA31" s="3592"/>
      <c r="AB31" s="3592"/>
      <c r="AC31" s="3592"/>
      <c r="AD31" s="3592" t="s">
        <v>6563</v>
      </c>
      <c r="AE31" s="3592"/>
      <c r="AF31" s="3592"/>
      <c r="AG31" s="3592"/>
      <c r="AH31" s="3592"/>
      <c r="AI31" s="3592"/>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514" t="s">
        <v>6123</v>
      </c>
      <c r="H33" s="4514"/>
      <c r="I33" s="4508" t="s">
        <v>6504</v>
      </c>
      <c r="J33" s="4509"/>
      <c r="K33" s="4509"/>
      <c r="L33" s="4510"/>
      <c r="M33" s="4575" t="s">
        <v>6136</v>
      </c>
      <c r="N33" s="4575"/>
      <c r="O33" s="4575"/>
      <c r="P33" s="4575"/>
      <c r="Q33" s="436"/>
      <c r="R33" s="436"/>
      <c r="S33" s="83" t="s">
        <v>6135</v>
      </c>
      <c r="T33" s="436"/>
      <c r="U33" s="436"/>
      <c r="V33" s="436"/>
      <c r="X33" s="4494" t="s">
        <v>6123</v>
      </c>
      <c r="Y33" s="4496"/>
      <c r="Z33" s="4494" t="s">
        <v>6504</v>
      </c>
      <c r="AA33" s="4495"/>
      <c r="AB33" s="4495"/>
      <c r="AC33" s="4496"/>
      <c r="AD33" s="4503" t="s">
        <v>6123</v>
      </c>
      <c r="AE33" s="4504"/>
      <c r="AF33" s="4505" t="s">
        <v>6504</v>
      </c>
      <c r="AG33" s="4503"/>
      <c r="AH33" s="4503"/>
      <c r="AI33" s="4504"/>
    </row>
    <row r="34" spans="1:46" s="115" customFormat="1" ht="11.25" customHeight="1">
      <c r="A34" s="44"/>
      <c r="B34" s="29"/>
      <c r="C34" s="44"/>
      <c r="D34" s="44"/>
      <c r="E34" s="44"/>
      <c r="F34" s="44"/>
      <c r="G34" s="1723">
        <v>0.09</v>
      </c>
      <c r="H34" s="1723">
        <v>0.04</v>
      </c>
      <c r="I34" s="1723">
        <v>0.04</v>
      </c>
      <c r="J34" s="1723" t="s">
        <v>6544</v>
      </c>
      <c r="K34" s="1723" t="s">
        <v>6545</v>
      </c>
      <c r="L34" s="1723" t="s">
        <v>6546</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3392</v>
      </c>
      <c r="C38" s="1730"/>
      <c r="D38" s="1731"/>
      <c r="E38" s="1731"/>
      <c r="F38" s="1731"/>
      <c r="G38" s="1732">
        <v>20</v>
      </c>
      <c r="H38" s="1733">
        <v>12</v>
      </c>
      <c r="I38" s="1732"/>
      <c r="J38" s="1821"/>
      <c r="K38" s="1821"/>
      <c r="L38" s="1733"/>
      <c r="Q38" s="142"/>
      <c r="R38" s="658" t="s">
        <v>1668</v>
      </c>
      <c r="S38" s="1729" t="s">
        <v>3392</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3337</v>
      </c>
      <c r="C40" s="1730"/>
      <c r="D40" s="1731"/>
      <c r="E40" s="1731"/>
      <c r="F40" s="1731"/>
      <c r="G40" s="1732">
        <v>3</v>
      </c>
      <c r="H40" s="1733">
        <v>2</v>
      </c>
      <c r="I40" s="1732"/>
      <c r="J40" s="1821"/>
      <c r="K40" s="1821"/>
      <c r="L40" s="1733"/>
      <c r="M40" s="4576" t="s">
        <v>6560</v>
      </c>
      <c r="N40" s="4577"/>
      <c r="O40" s="4577"/>
      <c r="P40" s="4577"/>
      <c r="Q40" s="142"/>
      <c r="R40" s="658" t="s">
        <v>720</v>
      </c>
      <c r="S40" s="1729" t="s">
        <v>3337</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3393</v>
      </c>
      <c r="C41" s="1730"/>
      <c r="D41" s="1731"/>
      <c r="E41" s="1731"/>
      <c r="F41" s="1731"/>
      <c r="G41" s="1732">
        <v>7</v>
      </c>
      <c r="H41" s="1733">
        <v>5</v>
      </c>
      <c r="I41" s="1732"/>
      <c r="J41" s="1821"/>
      <c r="K41" s="1821"/>
      <c r="L41" s="1733"/>
      <c r="M41" s="4576"/>
      <c r="N41" s="4577"/>
      <c r="O41" s="4577"/>
      <c r="P41" s="4577"/>
      <c r="Q41" s="142"/>
      <c r="R41" s="658" t="s">
        <v>280</v>
      </c>
      <c r="S41" s="1729" t="s">
        <v>3393</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3394</v>
      </c>
      <c r="C42" s="1730"/>
      <c r="D42" s="1731"/>
      <c r="E42" s="1731"/>
      <c r="F42" s="1731"/>
      <c r="G42" s="1732">
        <v>3</v>
      </c>
      <c r="H42" s="1733"/>
      <c r="I42" s="1732"/>
      <c r="J42" s="1821"/>
      <c r="K42" s="1821"/>
      <c r="L42" s="1733"/>
      <c r="M42" s="147" t="s">
        <v>6555</v>
      </c>
      <c r="N42" s="147"/>
      <c r="O42" s="147"/>
      <c r="P42" s="1232"/>
      <c r="Q42" s="142"/>
      <c r="R42" s="658" t="s">
        <v>401</v>
      </c>
      <c r="S42" s="1729" t="s">
        <v>3394</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3305</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3368</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3368</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3802</v>
      </c>
      <c r="C48" s="1730"/>
      <c r="D48" s="1731"/>
      <c r="E48" s="1731"/>
      <c r="F48" s="1731"/>
      <c r="G48" s="1732">
        <v>4</v>
      </c>
      <c r="H48" s="1733">
        <v>4</v>
      </c>
      <c r="I48" s="1732">
        <v>4</v>
      </c>
      <c r="J48" s="1821">
        <v>4</v>
      </c>
      <c r="K48" s="1821">
        <v>4</v>
      </c>
      <c r="L48" s="1733">
        <v>4</v>
      </c>
      <c r="M48" s="1851" t="s">
        <v>2444</v>
      </c>
      <c r="N48" s="1852"/>
      <c r="O48" s="1853"/>
      <c r="P48" s="1232"/>
      <c r="R48" s="658" t="s">
        <v>2080</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3368</v>
      </c>
      <c r="B49" s="1729" t="s">
        <v>6547</v>
      </c>
      <c r="C49" s="1730"/>
      <c r="D49" s="1731"/>
      <c r="E49" s="1731"/>
      <c r="F49" s="1731"/>
      <c r="G49" s="1732">
        <v>2</v>
      </c>
      <c r="H49" s="1733">
        <v>2</v>
      </c>
      <c r="I49" s="1732">
        <v>2</v>
      </c>
      <c r="J49" s="1821">
        <v>2</v>
      </c>
      <c r="K49" s="1821">
        <v>2</v>
      </c>
      <c r="L49" s="1733">
        <v>2</v>
      </c>
      <c r="M49" s="1854" t="s">
        <v>6558</v>
      </c>
      <c r="N49" s="1855"/>
      <c r="O49" s="1856"/>
      <c r="P49" s="818"/>
      <c r="R49" s="658" t="s">
        <v>3368</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76</v>
      </c>
    </row>
    <row r="50" spans="1:46" s="115" customFormat="1" ht="10.5" customHeight="1">
      <c r="A50" s="658" t="s">
        <v>3369</v>
      </c>
      <c r="B50" s="1729" t="s">
        <v>6548</v>
      </c>
      <c r="C50" s="1730"/>
      <c r="D50" s="1731"/>
      <c r="E50" s="1731"/>
      <c r="F50" s="1731"/>
      <c r="G50" s="1732">
        <v>2</v>
      </c>
      <c r="H50" s="1733">
        <v>2</v>
      </c>
      <c r="I50" s="1732">
        <v>2</v>
      </c>
      <c r="J50" s="1821">
        <v>2</v>
      </c>
      <c r="K50" s="1821">
        <v>2</v>
      </c>
      <c r="L50" s="1733">
        <v>2</v>
      </c>
      <c r="M50" s="147" t="s">
        <v>6559</v>
      </c>
      <c r="N50" s="72"/>
      <c r="O50" s="72"/>
      <c r="P50" s="456">
        <f>'Part II-Sources of Funds'!$L$14</f>
        <v>0</v>
      </c>
      <c r="R50" s="658" t="s">
        <v>3369</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3367</v>
      </c>
      <c r="B51" s="1729" t="s">
        <v>6553</v>
      </c>
      <c r="C51" s="1730"/>
      <c r="D51" s="1731"/>
      <c r="E51" s="1731"/>
      <c r="F51" s="1731"/>
      <c r="G51" s="1732">
        <v>2</v>
      </c>
      <c r="H51" s="1733"/>
      <c r="I51" s="1732"/>
      <c r="J51" s="1821">
        <v>2</v>
      </c>
      <c r="K51" s="1821">
        <v>2</v>
      </c>
      <c r="L51" s="1733">
        <v>2</v>
      </c>
      <c r="Q51" s="142"/>
      <c r="R51" s="658" t="s">
        <v>3367</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3370</v>
      </c>
      <c r="B52" s="1729" t="s">
        <v>6128</v>
      </c>
      <c r="C52" s="1730"/>
      <c r="D52" s="1731"/>
      <c r="E52" s="1731"/>
      <c r="F52" s="1731"/>
      <c r="G52" s="1732">
        <v>2</v>
      </c>
      <c r="H52" s="1733"/>
      <c r="I52" s="1732"/>
      <c r="J52" s="1821">
        <v>2</v>
      </c>
      <c r="K52" s="1821">
        <v>2</v>
      </c>
      <c r="L52" s="1733">
        <v>2</v>
      </c>
      <c r="M52" s="4710" t="s">
        <v>6735</v>
      </c>
      <c r="N52" s="4711"/>
      <c r="O52" s="4711"/>
      <c r="P52" s="4711"/>
      <c r="Q52" s="392"/>
      <c r="R52" s="658" t="s">
        <v>3370</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3371</v>
      </c>
      <c r="B53" s="1729" t="s">
        <v>3395</v>
      </c>
      <c r="C53" s="1730"/>
      <c r="D53" s="1731"/>
      <c r="E53" s="1731"/>
      <c r="F53" s="1731"/>
      <c r="G53" s="1732">
        <v>2</v>
      </c>
      <c r="H53" s="1733"/>
      <c r="I53" s="1732"/>
      <c r="J53" s="1821">
        <v>2</v>
      </c>
      <c r="K53" s="1821">
        <v>2</v>
      </c>
      <c r="L53" s="1733">
        <v>2</v>
      </c>
      <c r="M53" s="4710"/>
      <c r="N53" s="4711"/>
      <c r="O53" s="4711"/>
      <c r="P53" s="4711"/>
      <c r="R53" s="658" t="s">
        <v>3371</v>
      </c>
      <c r="S53" s="1729" t="s">
        <v>3395</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3374</v>
      </c>
      <c r="B54" s="1729" t="s">
        <v>3396</v>
      </c>
      <c r="C54" s="1730"/>
      <c r="D54" s="1731"/>
      <c r="E54" s="1731"/>
      <c r="F54" s="1731"/>
      <c r="G54" s="1732">
        <v>4</v>
      </c>
      <c r="H54" s="1733">
        <v>2</v>
      </c>
      <c r="I54" s="1732">
        <v>2</v>
      </c>
      <c r="J54" s="1821">
        <v>4</v>
      </c>
      <c r="K54" s="1821">
        <v>4</v>
      </c>
      <c r="L54" s="1733">
        <v>4</v>
      </c>
      <c r="M54" s="4712"/>
      <c r="N54" s="4713"/>
      <c r="O54" s="4713"/>
      <c r="P54" s="4713"/>
      <c r="R54" s="658" t="s">
        <v>3374</v>
      </c>
      <c r="S54" s="1729" t="s">
        <v>3396</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3375</v>
      </c>
      <c r="B55" s="1729" t="s">
        <v>3397</v>
      </c>
      <c r="C55" s="1730"/>
      <c r="D55" s="1731"/>
      <c r="E55" s="1731"/>
      <c r="F55" s="1731"/>
      <c r="G55" s="1732">
        <v>2</v>
      </c>
      <c r="H55" s="1733"/>
      <c r="I55" s="1732"/>
      <c r="J55" s="1821"/>
      <c r="K55" s="1821"/>
      <c r="L55" s="1733"/>
      <c r="M55" s="4578" t="s">
        <v>6710</v>
      </c>
      <c r="N55" s="4579"/>
      <c r="O55" s="4579"/>
      <c r="P55" s="4580"/>
      <c r="R55" s="658" t="s">
        <v>3375</v>
      </c>
      <c r="S55" s="1729" t="s">
        <v>3397</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3376</v>
      </c>
      <c r="B56" s="1729" t="s">
        <v>6129</v>
      </c>
      <c r="C56" s="1730"/>
      <c r="D56" s="1731"/>
      <c r="E56" s="1731"/>
      <c r="F56" s="1731"/>
      <c r="G56" s="1732">
        <v>10</v>
      </c>
      <c r="H56" s="1733">
        <v>10</v>
      </c>
      <c r="I56" s="1732">
        <v>10</v>
      </c>
      <c r="J56" s="1821">
        <v>10</v>
      </c>
      <c r="K56" s="1821">
        <v>10</v>
      </c>
      <c r="L56" s="1733">
        <v>10</v>
      </c>
      <c r="M56" s="4581"/>
      <c r="N56" s="4582"/>
      <c r="O56" s="4582"/>
      <c r="P56" s="4583"/>
      <c r="R56" s="658" t="s">
        <v>3376</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3377</v>
      </c>
      <c r="B57" s="1729" t="s">
        <v>6549</v>
      </c>
      <c r="C57" s="1730"/>
      <c r="D57" s="1731"/>
      <c r="E57" s="1731"/>
      <c r="F57" s="1731"/>
      <c r="G57" s="1732">
        <v>3</v>
      </c>
      <c r="H57" s="1733">
        <v>3</v>
      </c>
      <c r="I57" s="1732">
        <v>3</v>
      </c>
      <c r="J57" s="1821">
        <v>3</v>
      </c>
      <c r="K57" s="1821">
        <v>3</v>
      </c>
      <c r="L57" s="1733">
        <v>3</v>
      </c>
      <c r="R57" s="658" t="s">
        <v>3377</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3378</v>
      </c>
      <c r="B58" s="1729" t="s">
        <v>6130</v>
      </c>
      <c r="C58" s="1730"/>
      <c r="D58" s="1731"/>
      <c r="E58" s="1731"/>
      <c r="F58" s="1731"/>
      <c r="G58" s="1732"/>
      <c r="H58" s="1733"/>
      <c r="I58" s="1732">
        <v>6</v>
      </c>
      <c r="J58" s="1821">
        <v>6</v>
      </c>
      <c r="K58" s="1821">
        <v>6</v>
      </c>
      <c r="L58" s="1733">
        <v>6</v>
      </c>
      <c r="M58" s="4576" t="s">
        <v>6138</v>
      </c>
      <c r="N58" s="4577"/>
      <c r="O58" s="4577"/>
      <c r="P58" s="4577"/>
      <c r="Q58" s="142"/>
      <c r="R58" s="658" t="s">
        <v>3378</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3379</v>
      </c>
      <c r="B59" s="1729" t="s">
        <v>6550</v>
      </c>
      <c r="C59" s="1730"/>
      <c r="D59" s="1731"/>
      <c r="E59" s="1731"/>
      <c r="F59" s="1731"/>
      <c r="G59" s="1732"/>
      <c r="H59" s="1733"/>
      <c r="I59" s="1732">
        <v>6</v>
      </c>
      <c r="J59" s="1821">
        <v>6</v>
      </c>
      <c r="K59" s="1821">
        <v>6</v>
      </c>
      <c r="L59" s="1733">
        <v>6</v>
      </c>
      <c r="M59" s="4708"/>
      <c r="N59" s="4709"/>
      <c r="O59" s="4709"/>
      <c r="P59" s="4709"/>
      <c r="Q59" s="142"/>
      <c r="R59" s="658" t="s">
        <v>3379</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439" t="s">
        <v>6711</v>
      </c>
      <c r="N60" s="4440"/>
      <c r="O60" s="4440"/>
      <c r="P60" s="4441"/>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442"/>
      <c r="N61" s="4443"/>
      <c r="O61" s="4443"/>
      <c r="P61" s="4444"/>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9">
        <f>SUM(P67:P69)</f>
        <v>0</v>
      </c>
      <c r="Q66" s="29" t="s">
        <v>6240</v>
      </c>
    </row>
    <row r="67" spans="1:20" s="36" customFormat="1" ht="12.75" customHeight="1">
      <c r="A67" s="107"/>
      <c r="B67" s="1610" t="s">
        <v>1844</v>
      </c>
      <c r="C67" s="81" t="s">
        <v>3806</v>
      </c>
      <c r="D67" s="41"/>
      <c r="E67" s="41"/>
      <c r="F67" s="891"/>
      <c r="H67" s="147" t="s">
        <v>3174</v>
      </c>
      <c r="J67" s="42"/>
      <c r="N67" s="317" t="s">
        <v>1844</v>
      </c>
      <c r="P67" s="902">
        <f>F75</f>
        <v>0</v>
      </c>
    </row>
    <row r="68" spans="1:20" s="36" customFormat="1" ht="12.75" customHeight="1">
      <c r="A68" s="107"/>
      <c r="B68" s="1610" t="s">
        <v>1846</v>
      </c>
      <c r="C68" s="81" t="s">
        <v>6239</v>
      </c>
      <c r="D68" s="41"/>
      <c r="E68" s="41"/>
      <c r="F68" s="891"/>
      <c r="H68" s="147" t="s">
        <v>3804</v>
      </c>
      <c r="J68" s="42"/>
      <c r="N68" s="317" t="s">
        <v>1846</v>
      </c>
      <c r="P68" s="1177">
        <f>J75</f>
        <v>0</v>
      </c>
    </row>
    <row r="69" spans="1:20" s="36" customFormat="1" ht="12.75" customHeight="1">
      <c r="A69" s="107"/>
      <c r="B69" s="1610" t="s">
        <v>2332</v>
      </c>
      <c r="C69" s="81" t="s">
        <v>3805</v>
      </c>
      <c r="D69" s="41"/>
      <c r="E69" s="41"/>
      <c r="F69" s="891"/>
      <c r="H69" s="147" t="s">
        <v>3809</v>
      </c>
      <c r="J69" s="42"/>
      <c r="N69" s="317" t="s">
        <v>2332</v>
      </c>
      <c r="P69" s="1178"/>
    </row>
    <row r="70" spans="1:20" s="36" customFormat="1" ht="12.75" customHeight="1">
      <c r="C70" s="4491" t="s">
        <v>3893</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05" t="s">
        <v>6071</v>
      </c>
      <c r="B74" s="4405"/>
      <c r="C74" s="4405"/>
      <c r="D74" s="4405"/>
      <c r="E74" s="4405"/>
      <c r="F74" s="1176" t="s">
        <v>3389</v>
      </c>
      <c r="G74" s="4563" t="s">
        <v>6073</v>
      </c>
      <c r="H74" s="4563"/>
      <c r="I74" s="4563"/>
      <c r="J74" s="1176" t="s">
        <v>3389</v>
      </c>
      <c r="K74" s="4567" t="s">
        <v>6072</v>
      </c>
      <c r="L74" s="4567"/>
      <c r="M74" s="4567"/>
      <c r="N74" s="4567"/>
      <c r="O74" s="4561" t="s">
        <v>3389</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3807</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3144</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3145</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3146</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3147</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3924</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3810</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9">
        <f>'Part V-Revenues &amp; Expenses'!$B$50</f>
        <v>57.678571428571431</v>
      </c>
      <c r="L94" s="4654" t="str">
        <f>IF(AND(O94&gt;0,O95&gt;0), "CHOOSE EITHER A OR B, NOT BOTH!", "")</f>
        <v/>
      </c>
      <c r="M94" s="458">
        <v>2</v>
      </c>
      <c r="N94" s="150" t="s">
        <v>1844</v>
      </c>
      <c r="O94" s="406"/>
      <c r="P94" s="414"/>
      <c r="Q94" s="1212" t="str">
        <f>IF(OR($O94=$M94,$O94=0,$O94=""),"","*CHECK!*")</f>
        <v/>
      </c>
      <c r="R94" s="795" t="s">
        <v>4057</v>
      </c>
    </row>
    <row r="95" spans="1:19" s="70" customFormat="1" ht="13.5" customHeight="1">
      <c r="A95" s="396" t="s">
        <v>2984</v>
      </c>
      <c r="B95" s="1193" t="s">
        <v>1846</v>
      </c>
      <c r="C95" s="1183" t="s">
        <v>3813</v>
      </c>
      <c r="D95" s="29"/>
      <c r="I95" s="1182"/>
      <c r="K95" s="29"/>
      <c r="L95" s="4654"/>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5" t="s">
        <v>3814</v>
      </c>
      <c r="I97" s="4456"/>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76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3323</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3366</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5" t="s">
        <v>4042</v>
      </c>
      <c r="J106" s="4476"/>
      <c r="K106" s="4476"/>
      <c r="L106" s="4477"/>
      <c r="M106" s="458">
        <v>20</v>
      </c>
      <c r="N106" s="150" t="s">
        <v>1841</v>
      </c>
      <c r="O106" s="1765"/>
      <c r="P106" s="1766"/>
      <c r="Q106" s="1212"/>
      <c r="R106" s="795" t="s">
        <v>4057</v>
      </c>
    </row>
    <row r="107" spans="1:18" s="70" customFormat="1" ht="12.75" customHeight="1">
      <c r="A107" s="107" t="s">
        <v>1843</v>
      </c>
      <c r="B107" s="141" t="s">
        <v>3279</v>
      </c>
      <c r="D107" s="880"/>
      <c r="F107" s="1238"/>
      <c r="H107" s="658" t="s">
        <v>3336</v>
      </c>
      <c r="I107" s="4478"/>
      <c r="J107" s="4479"/>
      <c r="K107" s="4479"/>
      <c r="L107" s="4480"/>
      <c r="M107" s="891" t="s">
        <v>1164</v>
      </c>
      <c r="N107" s="48" t="s">
        <v>1843</v>
      </c>
      <c r="O107" s="1767"/>
      <c r="P107" s="1768"/>
      <c r="R107" s="795" t="s">
        <v>4057</v>
      </c>
    </row>
    <row r="108" spans="1:18" s="36" customFormat="1" ht="12.75" customHeight="1" thickBot="1">
      <c r="A108" s="35"/>
      <c r="B108" s="937" t="s">
        <v>3240</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3324</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537" t="s">
        <v>3215</v>
      </c>
      <c r="G123" s="4537"/>
      <c r="H123" s="4537"/>
      <c r="I123" s="4537"/>
      <c r="J123" s="4537" t="s">
        <v>3216</v>
      </c>
      <c r="K123" s="4537"/>
      <c r="L123" s="4537"/>
      <c r="M123" s="4537"/>
      <c r="N123" s="48"/>
      <c r="O123" s="4538" t="s">
        <v>3883</v>
      </c>
      <c r="P123" s="4539"/>
      <c r="Q123" s="86"/>
      <c r="R123" s="879"/>
      <c r="S123" s="879"/>
      <c r="T123" s="879"/>
      <c r="U123" s="879"/>
    </row>
    <row r="124" spans="1:21" s="36" customFormat="1" ht="12" customHeight="1">
      <c r="B124" s="1839"/>
      <c r="C124" s="1182" t="s">
        <v>6569</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6145</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6678</v>
      </c>
      <c r="B126" s="4668"/>
      <c r="C126" s="1182" t="s">
        <v>6568</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3364</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6682</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1844</v>
      </c>
      <c r="C133" s="4536" t="s">
        <v>6676</v>
      </c>
      <c r="D133" s="4536"/>
      <c r="E133" s="4536"/>
      <c r="F133" s="4536"/>
      <c r="G133" s="4536"/>
      <c r="H133" s="4536"/>
      <c r="I133" s="4536"/>
      <c r="J133" s="4536"/>
      <c r="K133" s="4536"/>
      <c r="L133" s="4536"/>
      <c r="M133" s="1848">
        <v>6</v>
      </c>
      <c r="N133" s="374" t="s">
        <v>1844</v>
      </c>
      <c r="O133" s="1910"/>
      <c r="P133" s="1911"/>
      <c r="Q133" s="1212"/>
      <c r="R133" s="795" t="s">
        <v>4057</v>
      </c>
    </row>
    <row r="134" spans="1:21" s="332" customFormat="1" ht="12" customHeight="1">
      <c r="A134" s="456" t="s">
        <v>1275</v>
      </c>
      <c r="B134" s="350" t="s">
        <v>1846</v>
      </c>
      <c r="C134" s="3577" t="s">
        <v>6677</v>
      </c>
      <c r="D134" s="3577"/>
      <c r="E134" s="3577"/>
      <c r="F134" s="3577"/>
      <c r="G134" s="866"/>
      <c r="J134" s="4540" t="s">
        <v>6673</v>
      </c>
      <c r="K134" s="4541"/>
      <c r="L134" s="4542"/>
      <c r="M134" s="458">
        <v>5</v>
      </c>
      <c r="N134" s="348" t="s">
        <v>1846</v>
      </c>
      <c r="O134" s="1923"/>
      <c r="P134" s="1924"/>
      <c r="Q134" s="1810" t="s">
        <v>6669</v>
      </c>
      <c r="R134" s="1176" t="s">
        <v>6262</v>
      </c>
      <c r="S134" s="1176" t="s">
        <v>6143</v>
      </c>
    </row>
    <row r="135" spans="1:21" s="332" customFormat="1" ht="12" customHeight="1">
      <c r="B135" s="350"/>
      <c r="C135" s="3577"/>
      <c r="D135" s="3577"/>
      <c r="E135" s="3577"/>
      <c r="F135" s="3577"/>
      <c r="G135" s="866"/>
      <c r="H135" s="3368" t="s">
        <v>6671</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7"/>
      <c r="D136" s="3577"/>
      <c r="E136" s="3577"/>
      <c r="F136" s="3577"/>
      <c r="G136" s="866"/>
      <c r="H136" s="1769"/>
      <c r="I136" s="1904"/>
      <c r="J136" s="4543"/>
      <c r="K136" s="4544"/>
      <c r="L136" s="4545"/>
      <c r="Q136" s="798"/>
      <c r="R136" s="1549">
        <v>0.5</v>
      </c>
      <c r="S136" s="1549">
        <v>4.5</v>
      </c>
    </row>
    <row r="137" spans="1:21" s="332" customFormat="1" ht="12" customHeight="1">
      <c r="B137" s="350"/>
      <c r="C137" s="3577"/>
      <c r="D137" s="3577"/>
      <c r="E137" s="3577"/>
      <c r="F137" s="3577"/>
      <c r="G137" s="866"/>
      <c r="J137" s="4543"/>
      <c r="K137" s="4544"/>
      <c r="L137" s="4545"/>
      <c r="M137" s="70"/>
      <c r="N137" s="70"/>
      <c r="O137" s="70"/>
      <c r="P137" s="70"/>
      <c r="Q137" s="397"/>
      <c r="R137" s="1550">
        <v>1</v>
      </c>
      <c r="S137" s="1550">
        <v>4</v>
      </c>
    </row>
    <row r="138" spans="1:21" s="332" customFormat="1" ht="12" customHeight="1">
      <c r="A138" s="112" t="s">
        <v>1843</v>
      </c>
      <c r="B138" s="897" t="s">
        <v>3238</v>
      </c>
      <c r="C138" s="503"/>
      <c r="D138" s="503"/>
      <c r="F138" s="1902" t="s">
        <v>6668</v>
      </c>
      <c r="J138" s="4465" t="s">
        <v>3235</v>
      </c>
      <c r="K138" s="446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1844</v>
      </c>
      <c r="C139" s="3577" t="s">
        <v>6683</v>
      </c>
      <c r="D139" s="3577"/>
      <c r="E139" s="3577"/>
      <c r="F139" s="3577"/>
      <c r="G139" s="866"/>
      <c r="H139" s="3368" t="s">
        <v>6672</v>
      </c>
      <c r="I139" s="3368"/>
      <c r="J139" s="4467" t="s">
        <v>6688</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7"/>
      <c r="D140" s="3577"/>
      <c r="E140" s="3577"/>
      <c r="F140" s="3577"/>
      <c r="G140" s="70"/>
      <c r="H140" s="1769"/>
      <c r="I140" s="1904"/>
      <c r="J140" s="4690" t="s">
        <v>6564</v>
      </c>
      <c r="K140" s="4691"/>
      <c r="L140" s="4692"/>
      <c r="M140" s="70"/>
      <c r="O140" s="4704"/>
      <c r="P140" s="4707"/>
      <c r="Q140" s="86"/>
      <c r="R140" s="1550">
        <v>1</v>
      </c>
      <c r="S140" s="1550">
        <v>1</v>
      </c>
      <c r="U140" s="332"/>
    </row>
    <row r="141" spans="1:21" s="36" customFormat="1" ht="11.25" customHeight="1">
      <c r="A141" s="456" t="s">
        <v>1275</v>
      </c>
      <c r="B141" s="1632" t="s">
        <v>1846</v>
      </c>
      <c r="C141" s="3577" t="s">
        <v>6675</v>
      </c>
      <c r="D141" s="3577"/>
      <c r="E141" s="3577"/>
      <c r="F141" s="3577"/>
      <c r="G141" s="3577"/>
      <c r="H141" s="3577"/>
      <c r="I141" s="1903"/>
      <c r="J141" s="4693"/>
      <c r="K141" s="4694"/>
      <c r="L141" s="4695"/>
      <c r="M141" s="458">
        <v>1</v>
      </c>
      <c r="N141" s="348" t="s">
        <v>1846</v>
      </c>
      <c r="O141" s="4490"/>
      <c r="P141" s="4667"/>
      <c r="U141" s="332"/>
    </row>
    <row r="142" spans="1:21" s="36" customFormat="1" ht="11.25" customHeight="1">
      <c r="B142" s="1906"/>
      <c r="C142" s="3577"/>
      <c r="D142" s="3577"/>
      <c r="E142" s="3577"/>
      <c r="F142" s="3577"/>
      <c r="G142" s="3577"/>
      <c r="H142" s="3577"/>
      <c r="I142" s="1903"/>
      <c r="J142" s="4696"/>
      <c r="K142" s="4697"/>
      <c r="L142" s="4698"/>
      <c r="O142" s="4490"/>
      <c r="P142" s="4667"/>
      <c r="T142" s="332"/>
      <c r="U142" s="332"/>
    </row>
    <row r="143" spans="1:21" s="332" customFormat="1" ht="12" customHeight="1">
      <c r="A143" s="1631" t="s">
        <v>1275</v>
      </c>
      <c r="B143" s="1632" t="s">
        <v>2332</v>
      </c>
      <c r="C143" s="3577" t="s">
        <v>6674</v>
      </c>
      <c r="D143" s="3577"/>
      <c r="E143" s="3577"/>
      <c r="F143" s="3577"/>
      <c r="G143" s="3577"/>
      <c r="H143" s="3577"/>
      <c r="I143" s="4702"/>
      <c r="J143" s="4690" t="s">
        <v>6565</v>
      </c>
      <c r="K143" s="4691"/>
      <c r="L143" s="4692"/>
      <c r="M143" s="1848">
        <v>2</v>
      </c>
      <c r="N143" s="374" t="s">
        <v>2332</v>
      </c>
      <c r="O143" s="4665"/>
      <c r="P143" s="4486"/>
      <c r="Q143" s="798"/>
      <c r="R143" s="795"/>
    </row>
    <row r="144" spans="1:21" s="36" customFormat="1" ht="36.75" customHeight="1">
      <c r="C144" s="3577"/>
      <c r="D144" s="3577"/>
      <c r="E144" s="3577"/>
      <c r="F144" s="3577"/>
      <c r="G144" s="3577"/>
      <c r="H144" s="3577"/>
      <c r="I144" s="4702"/>
      <c r="J144" s="4699"/>
      <c r="K144" s="4700"/>
      <c r="L144" s="4701"/>
      <c r="O144" s="4666"/>
      <c r="P144" s="4487"/>
    </row>
    <row r="145" spans="1:19" s="36" customFormat="1" ht="12.6" customHeight="1">
      <c r="A145" s="29" t="s">
        <v>3365</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687" t="s">
        <v>6888</v>
      </c>
      <c r="K154" s="4688"/>
      <c r="L154" s="4688"/>
      <c r="M154" s="4689"/>
      <c r="N154"/>
      <c r="O154"/>
      <c r="P154"/>
    </row>
    <row r="155" spans="1:19" ht="12.75" customHeight="1">
      <c r="B155" s="430"/>
      <c r="C155" s="430"/>
      <c r="D155" s="430"/>
      <c r="F155" s="4201" t="s">
        <v>6626</v>
      </c>
      <c r="G155" s="4201"/>
      <c r="H155" s="4201" t="s">
        <v>6268</v>
      </c>
      <c r="I155" s="4201"/>
      <c r="J155" s="4675" t="s">
        <v>6627</v>
      </c>
      <c r="K155" s="4676"/>
      <c r="L155" s="4678" t="s">
        <v>6887</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6628</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2240</v>
      </c>
      <c r="C173" s="4193" t="s">
        <v>6679</v>
      </c>
      <c r="D173" s="4193"/>
      <c r="E173" s="4193"/>
      <c r="F173" s="4193"/>
      <c r="G173" s="4193"/>
      <c r="H173" s="4193"/>
      <c r="I173" s="4193"/>
      <c r="J173" s="4193"/>
      <c r="K173" s="4193"/>
      <c r="L173" s="128"/>
      <c r="M173" s="4659" t="s">
        <v>6089</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3286</v>
      </c>
      <c r="N174" s="4652"/>
      <c r="O174" s="4652"/>
      <c r="P174" s="4653"/>
      <c r="S174" s="1628"/>
      <c r="T174" s="1628"/>
      <c r="U174" s="1628"/>
    </row>
    <row r="175" spans="1:26" s="26" customFormat="1" ht="12.75" customHeight="1">
      <c r="B175" s="49" t="s">
        <v>2241</v>
      </c>
      <c r="C175" s="29" t="s">
        <v>3955</v>
      </c>
      <c r="D175" s="29"/>
      <c r="E175" s="29"/>
      <c r="F175" s="29"/>
      <c r="G175" s="29"/>
      <c r="H175" s="29"/>
      <c r="L175" s="49" t="s">
        <v>2241</v>
      </c>
      <c r="M175" s="4467" t="s">
        <v>3286</v>
      </c>
      <c r="N175" s="4468"/>
      <c r="O175" s="4468"/>
      <c r="P175" s="4469"/>
      <c r="S175" s="1628"/>
      <c r="T175" s="1628"/>
      <c r="U175" s="1628"/>
      <c r="V175" s="72"/>
      <c r="W175" s="72"/>
      <c r="X175" s="72"/>
      <c r="Y175" s="72"/>
      <c r="Z175" s="72"/>
    </row>
    <row r="176" spans="1:26" s="26" customFormat="1" ht="12.75" customHeight="1">
      <c r="B176" s="49" t="s">
        <v>2242</v>
      </c>
      <c r="C176" s="29" t="s">
        <v>6173</v>
      </c>
      <c r="D176" s="29"/>
      <c r="E176" s="29"/>
      <c r="F176" s="29"/>
      <c r="G176" s="29"/>
      <c r="H176" s="29"/>
      <c r="L176" s="49" t="s">
        <v>2242</v>
      </c>
      <c r="M176" s="4467" t="s">
        <v>3286</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6174</v>
      </c>
      <c r="D177" s="29"/>
      <c r="E177" s="29"/>
      <c r="F177" s="29"/>
      <c r="G177" s="29"/>
      <c r="L177" s="49" t="s">
        <v>2243</v>
      </c>
      <c r="M177" s="4606" t="s">
        <v>3286</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6250</v>
      </c>
      <c r="D179" s="108"/>
      <c r="E179" s="108"/>
      <c r="F179" s="108"/>
      <c r="G179" s="108"/>
      <c r="H179" s="108"/>
      <c r="I179" s="108"/>
      <c r="K179" s="935"/>
      <c r="L179" s="935"/>
      <c r="R179" s="1628"/>
      <c r="S179" s="1628"/>
      <c r="T179" s="1628"/>
      <c r="U179" s="1628"/>
    </row>
    <row r="180" spans="1:26">
      <c r="A180" s="396"/>
      <c r="B180" s="128" t="s">
        <v>2240</v>
      </c>
      <c r="C180" s="4193" t="s">
        <v>6177</v>
      </c>
      <c r="D180" s="4193"/>
      <c r="E180" s="4193"/>
      <c r="F180" s="4193"/>
      <c r="G180" s="4193"/>
      <c r="H180" s="4193"/>
      <c r="I180" s="4193"/>
      <c r="J180" s="4193"/>
      <c r="K180" s="4193"/>
      <c r="L180" s="4193"/>
      <c r="M180" s="1848">
        <v>1</v>
      </c>
      <c r="N180" s="128" t="s">
        <v>4075</v>
      </c>
      <c r="O180" s="1636"/>
      <c r="P180" s="1640"/>
      <c r="Q180" s="1212" t="str">
        <f>IF(OR($O180=$M180,$O180=0,$O180=""),"","*CHECK!*")</f>
        <v/>
      </c>
      <c r="R180" s="795" t="s">
        <v>4057</v>
      </c>
    </row>
    <row r="181" spans="1:26" ht="36.75" customHeight="1">
      <c r="A181" s="396"/>
      <c r="B181" s="117" t="s">
        <v>2241</v>
      </c>
      <c r="C181" s="4193" t="s">
        <v>6178</v>
      </c>
      <c r="D181" s="4193"/>
      <c r="E181" s="4193"/>
      <c r="F181" s="4193"/>
      <c r="G181" s="4193"/>
      <c r="H181" s="4193"/>
      <c r="I181" s="4193"/>
      <c r="J181" s="4193"/>
      <c r="K181" s="4193"/>
      <c r="L181" s="4193"/>
      <c r="M181" s="1848">
        <v>1</v>
      </c>
      <c r="N181" s="128" t="s">
        <v>6259</v>
      </c>
      <c r="O181" s="1657"/>
      <c r="P181" s="1658"/>
      <c r="Q181" s="1212" t="str">
        <f>IF(OR($O181=$M181,$O181=0,$O181=""),"","*CHECK!*")</f>
        <v/>
      </c>
      <c r="R181" s="795" t="s">
        <v>4057</v>
      </c>
    </row>
    <row r="182" spans="1:26" ht="12" customHeight="1">
      <c r="A182" s="396"/>
      <c r="B182" s="1607" t="s">
        <v>2242</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3672</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1844</v>
      </c>
      <c r="C194" s="4193" t="s">
        <v>6206</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6210</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3" customFormat="1" ht="23.25" customHeight="1">
      <c r="B198" s="350" t="s">
        <v>1844</v>
      </c>
      <c r="C198" s="4193" t="s">
        <v>6211</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6252</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3821</v>
      </c>
      <c r="D207" s="38"/>
      <c r="E207" s="38"/>
      <c r="K207" s="1321"/>
      <c r="M207" s="458">
        <v>5</v>
      </c>
      <c r="N207" s="48" t="s">
        <v>1841</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630" t="s">
        <v>3204</v>
      </c>
      <c r="K208" s="4631"/>
      <c r="L208" s="4632"/>
      <c r="M208" s="4633"/>
      <c r="N208" s="53"/>
      <c r="R208" s="86"/>
      <c r="S208" s="70"/>
    </row>
    <row r="209" spans="1:27" ht="12.75" customHeight="1">
      <c r="C209" s="685" t="s">
        <v>6254</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30"/>
      <c r="T211" s="1630"/>
      <c r="U211" s="1630"/>
    </row>
    <row r="212" spans="1:27">
      <c r="C212" s="1638" t="s">
        <v>6218</v>
      </c>
      <c r="E212" s="4435" t="s">
        <v>6217</v>
      </c>
      <c r="F212" s="4435"/>
      <c r="G212" s="4435"/>
      <c r="H212" s="4435"/>
      <c r="I212" s="1203" t="s">
        <v>6244</v>
      </c>
      <c r="J212" s="4435" t="s">
        <v>6217</v>
      </c>
      <c r="K212" s="4435"/>
      <c r="L212" s="4435"/>
      <c r="M212" s="4435"/>
      <c r="N212"/>
      <c r="O212"/>
      <c r="P212"/>
    </row>
    <row r="213" spans="1:27" ht="13.5" customHeight="1">
      <c r="B213" s="400"/>
      <c r="C213" s="29" t="s">
        <v>6215</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6216</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6213</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6214</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3152</v>
      </c>
      <c r="H226" s="1191">
        <f>IF('Part V-Revenues &amp; Expenses'!$P$67=0,0,'Part V-Revenues &amp; Expenses'!$P$64/'Part V-Revenues &amp; Expenses'!$P$67)</f>
        <v>0.26315789473684209</v>
      </c>
      <c r="J226" s="370" t="s">
        <v>3958</v>
      </c>
      <c r="K226" s="4595" t="str">
        <f>'Part V-Revenues &amp; Expenses'!$O$53</f>
        <v>40% of Units at 60% of AMI</v>
      </c>
      <c r="L226" s="4596"/>
      <c r="M226" s="31"/>
      <c r="N226" s="119"/>
      <c r="O226" s="24"/>
      <c r="P226" s="3"/>
    </row>
    <row r="227" spans="1:24" ht="12" customHeight="1">
      <c r="A227" s="686" t="s">
        <v>1841</v>
      </c>
      <c r="B227" s="67" t="s">
        <v>3956</v>
      </c>
      <c r="C227" s="44"/>
      <c r="E227" s="236" t="s">
        <v>3957</v>
      </c>
      <c r="M227" s="458">
        <v>1</v>
      </c>
      <c r="N227" s="48" t="s">
        <v>1841</v>
      </c>
      <c r="O227" s="1324"/>
      <c r="P227" s="1325"/>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6256</v>
      </c>
      <c r="E244" s="33" t="s">
        <v>3308</v>
      </c>
      <c r="G244" s="1643"/>
      <c r="H244" s="48" t="s">
        <v>574</v>
      </c>
      <c r="I244" s="4460"/>
      <c r="J244" s="4460"/>
      <c r="L244" s="1662" t="s">
        <v>6258</v>
      </c>
      <c r="M244" s="4461"/>
      <c r="N244" s="4461"/>
    </row>
    <row r="245" spans="1:27" s="32" customFormat="1" ht="11.25" customHeight="1">
      <c r="A245" s="306"/>
      <c r="B245" s="350" t="s">
        <v>1846</v>
      </c>
      <c r="C245" s="29" t="s">
        <v>6257</v>
      </c>
      <c r="E245" s="33" t="s">
        <v>3308</v>
      </c>
      <c r="G245" s="1644"/>
      <c r="H245" s="48" t="s">
        <v>574</v>
      </c>
      <c r="I245" s="4590"/>
      <c r="J245" s="4590"/>
      <c r="L245" s="1662" t="s">
        <v>6258</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1841</v>
      </c>
      <c r="B253" s="141" t="s">
        <v>6263</v>
      </c>
      <c r="M253" s="458">
        <v>5</v>
      </c>
      <c r="N253" s="48" t="s">
        <v>1841</v>
      </c>
      <c r="O253" s="1646"/>
      <c r="P253" s="901"/>
      <c r="Q253" s="798" t="str">
        <f>IF(OR($O253=$M253,$O253=$M253-1,$O253=0,$O253=""),"","*CHECK!*")</f>
        <v/>
      </c>
      <c r="R253" s="795" t="s">
        <v>4057</v>
      </c>
      <c r="S253" s="1645"/>
      <c r="T253" s="1645"/>
      <c r="U253" s="1645"/>
      <c r="V253" s="1645"/>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6614</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6615</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6229</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6573</v>
      </c>
      <c r="D277" s="372"/>
      <c r="L277" s="372"/>
      <c r="M277" s="882">
        <v>2</v>
      </c>
      <c r="N277" s="48" t="s">
        <v>1843</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6690</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6692</v>
      </c>
      <c r="G289" s="147"/>
      <c r="I289" s="4645" t="s">
        <v>6693</v>
      </c>
      <c r="J289" s="4646"/>
      <c r="K289" s="4647"/>
      <c r="L289" s="4648"/>
      <c r="M289" s="456"/>
      <c r="O289" s="4649" t="s">
        <v>3149</v>
      </c>
      <c r="P289" s="4649" t="s">
        <v>3150</v>
      </c>
      <c r="Q289" s="86"/>
      <c r="R289" s="1630"/>
      <c r="S289" s="1630"/>
      <c r="T289" s="1630"/>
      <c r="U289" s="1630"/>
      <c r="V289" s="1630"/>
      <c r="W289" s="36"/>
      <c r="X289" s="36"/>
    </row>
    <row r="290" spans="1:24" s="36" customFormat="1" ht="11.25" customHeight="1">
      <c r="A290" s="120"/>
      <c r="B290" s="29" t="s">
        <v>6580</v>
      </c>
      <c r="D290" s="34"/>
      <c r="H290" s="141"/>
      <c r="M290" s="119"/>
      <c r="N290" s="48"/>
      <c r="O290" s="4650"/>
      <c r="P290" s="4650"/>
      <c r="Q290" s="86"/>
      <c r="R290" s="879"/>
      <c r="S290" s="879"/>
      <c r="T290" s="879"/>
      <c r="U290" s="879"/>
    </row>
    <row r="291" spans="1:24" s="36" customFormat="1" ht="11.25" customHeight="1">
      <c r="A291" s="1918"/>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6586</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6587</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6578</v>
      </c>
      <c r="D298" s="372"/>
      <c r="G298" s="44" t="s">
        <v>6588</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6589</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6590</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6695</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6593</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6583</v>
      </c>
      <c r="D311" s="372"/>
      <c r="E311" s="372" t="s">
        <v>6594</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6584</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3370</v>
      </c>
      <c r="B318" s="83" t="s">
        <v>3341</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3342</v>
      </c>
      <c r="C320" s="67"/>
      <c r="D320" s="44"/>
      <c r="E320" s="29"/>
      <c r="G320" s="1446"/>
      <c r="I320" s="33" t="s">
        <v>4076</v>
      </c>
      <c r="K320" s="1605">
        <f>'Part VIII Scoring Criteria OLD'!P42</f>
        <v>0</v>
      </c>
      <c r="M320" s="458">
        <v>2</v>
      </c>
      <c r="N320" s="48" t="s">
        <v>1841</v>
      </c>
      <c r="P320" s="416"/>
      <c r="Q320" s="86"/>
      <c r="R320" s="867" t="s">
        <v>2459</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3347</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1843</v>
      </c>
      <c r="B326" s="141" t="s">
        <v>3343</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3359</v>
      </c>
      <c r="D329" s="26"/>
      <c r="N329" s="348" t="s">
        <v>1846</v>
      </c>
      <c r="O329" s="299"/>
      <c r="P329" s="420"/>
      <c r="R329" s="307"/>
    </row>
    <row r="330" spans="1:19" s="70" customFormat="1" ht="10.5" customHeight="1">
      <c r="B330" s="306" t="s">
        <v>2332</v>
      </c>
      <c r="C330" s="29" t="s">
        <v>3348</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7" t="s">
        <v>4057</v>
      </c>
      <c r="S334" s="1647"/>
    </row>
    <row r="335" spans="1:19" s="36" customFormat="1" ht="11.25" customHeight="1">
      <c r="A335" s="107"/>
      <c r="B335" s="89" t="s">
        <v>3153</v>
      </c>
      <c r="D335" s="67"/>
      <c r="E335" s="67"/>
      <c r="G335" s="29"/>
      <c r="I335" s="3550" t="s">
        <v>6058</v>
      </c>
      <c r="J335" s="3551"/>
      <c r="K335" s="3551"/>
      <c r="L335" s="3552"/>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3374</v>
      </c>
      <c r="B342" s="83" t="s">
        <v>3345</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3274</v>
      </c>
      <c r="L345" s="4588"/>
      <c r="M345" s="4588"/>
      <c r="N345" s="49" t="s">
        <v>2241</v>
      </c>
      <c r="O345" s="299"/>
      <c r="P345" s="420"/>
      <c r="R345" s="4584"/>
      <c r="S345" s="4584"/>
    </row>
    <row r="346" spans="1:20" s="79" customFormat="1" ht="12.75" customHeight="1">
      <c r="B346" s="49" t="s">
        <v>2242</v>
      </c>
      <c r="C346" s="29" t="s">
        <v>3273</v>
      </c>
      <c r="L346" s="4588"/>
      <c r="M346" s="4588"/>
      <c r="N346" s="49" t="s">
        <v>2242</v>
      </c>
      <c r="O346" s="299"/>
      <c r="P346" s="420"/>
      <c r="R346" s="4584"/>
      <c r="S346" s="4584"/>
    </row>
    <row r="347" spans="1:20" s="79" customFormat="1" ht="33.75" customHeight="1">
      <c r="B347" s="117" t="s">
        <v>2243</v>
      </c>
      <c r="C347" s="4193" t="s">
        <v>6595</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3346</v>
      </c>
      <c r="L349" s="307" t="str">
        <f>IF(O349&lt;=M349,"","* * Check Score! * *")</f>
        <v/>
      </c>
      <c r="M349" s="458">
        <v>3</v>
      </c>
      <c r="N349" s="48" t="s">
        <v>1841</v>
      </c>
      <c r="O349" s="1626"/>
      <c r="P349" s="1627"/>
      <c r="Q349" s="798" t="str">
        <f>IF(O349&lt;=M349,"","*CHECK!*")</f>
        <v/>
      </c>
      <c r="R349" s="393" t="s">
        <v>4057</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6597</v>
      </c>
      <c r="C352" s="29" t="s">
        <v>1388</v>
      </c>
      <c r="I352" s="49" t="s">
        <v>2240</v>
      </c>
      <c r="J352" s="4523"/>
      <c r="K352" s="4524"/>
      <c r="L352" s="49" t="s">
        <v>2240</v>
      </c>
      <c r="M352" s="4627"/>
      <c r="N352" s="4628"/>
      <c r="O352" s="4628"/>
      <c r="P352" s="4629"/>
      <c r="R352" s="307"/>
    </row>
    <row r="353" spans="1:18" ht="12.75" customHeight="1">
      <c r="A353" s="152"/>
      <c r="B353" s="117" t="s">
        <v>2241</v>
      </c>
      <c r="C353" s="29" t="s">
        <v>3155</v>
      </c>
      <c r="I353" s="117" t="s">
        <v>2241</v>
      </c>
      <c r="J353" s="4528"/>
      <c r="K353" s="4529"/>
      <c r="L353" s="117" t="s">
        <v>2241</v>
      </c>
      <c r="M353" s="4530"/>
      <c r="N353" s="4531"/>
      <c r="O353" s="4531"/>
      <c r="P353" s="4532"/>
      <c r="R353" s="307"/>
    </row>
    <row r="354" spans="1:18" ht="12.75" customHeight="1">
      <c r="B354" s="49" t="s">
        <v>2242</v>
      </c>
      <c r="C354" s="29" t="s">
        <v>3952</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6231</v>
      </c>
      <c r="I358" s="49" t="s">
        <v>2261</v>
      </c>
      <c r="J358" s="4528"/>
      <c r="K358" s="4529"/>
      <c r="L358" s="49" t="s">
        <v>2261</v>
      </c>
      <c r="M358" s="1601"/>
      <c r="N358" s="1602"/>
      <c r="O358" s="1602"/>
      <c r="P358" s="1603"/>
      <c r="R358" s="307"/>
    </row>
    <row r="359" spans="1:18" ht="12.75" customHeight="1">
      <c r="A359" s="152"/>
      <c r="B359" s="48" t="s">
        <v>2262</v>
      </c>
      <c r="C359" s="29" t="s">
        <v>3154</v>
      </c>
      <c r="I359" s="48" t="s">
        <v>2262</v>
      </c>
      <c r="J359" s="4528"/>
      <c r="K359" s="4529"/>
      <c r="L359" s="48" t="s">
        <v>2262</v>
      </c>
      <c r="M359" s="4530"/>
      <c r="N359" s="4531"/>
      <c r="O359" s="4531"/>
      <c r="P359" s="4532"/>
      <c r="R359" s="307"/>
    </row>
    <row r="360" spans="1:18" ht="12.75" customHeight="1">
      <c r="B360" s="48" t="s">
        <v>2263</v>
      </c>
      <c r="C360" s="29" t="s">
        <v>6598</v>
      </c>
      <c r="I360" s="48" t="s">
        <v>2263</v>
      </c>
      <c r="J360" s="4528"/>
      <c r="K360" s="4529"/>
      <c r="L360" s="48" t="s">
        <v>2263</v>
      </c>
      <c r="M360" s="4530"/>
      <c r="N360" s="4531"/>
      <c r="O360" s="4531"/>
      <c r="P360" s="4532"/>
      <c r="R360" s="307"/>
    </row>
    <row r="361" spans="1:18" ht="12.75" customHeight="1">
      <c r="B361" s="48" t="s">
        <v>3156</v>
      </c>
      <c r="C361" s="29" t="s">
        <v>3824</v>
      </c>
      <c r="I361" s="48" t="s">
        <v>3156</v>
      </c>
      <c r="J361" s="4528"/>
      <c r="K361" s="4529"/>
      <c r="L361" s="48" t="s">
        <v>3156</v>
      </c>
      <c r="M361" s="4530"/>
      <c r="N361" s="4531"/>
      <c r="O361" s="4531"/>
      <c r="P361" s="4532"/>
      <c r="R361" s="307"/>
    </row>
    <row r="362" spans="1:18" ht="12.75" customHeight="1" thickBot="1">
      <c r="B362" s="48" t="s">
        <v>6232</v>
      </c>
      <c r="C362" s="29" t="s">
        <v>6233</v>
      </c>
      <c r="I362" s="48" t="s">
        <v>6232</v>
      </c>
      <c r="J362" s="4528"/>
      <c r="K362" s="4529"/>
      <c r="L362" s="48" t="s">
        <v>6232</v>
      </c>
      <c r="M362" s="4618"/>
      <c r="N362" s="4619"/>
      <c r="O362" s="4619"/>
      <c r="P362" s="4620"/>
      <c r="R362" s="307"/>
    </row>
    <row r="363" spans="1:18" ht="12.75" customHeight="1" thickBot="1">
      <c r="B363" s="919" t="s">
        <v>6599</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637">
        <f>'Part V-Revenues &amp; Expenses'!$P$67</f>
        <v>76</v>
      </c>
      <c r="K365" s="4638"/>
      <c r="L365" s="430"/>
      <c r="M365" s="393"/>
      <c r="N365" s="393"/>
      <c r="O365" s="881"/>
      <c r="P365" s="393"/>
    </row>
    <row r="366" spans="1:18" ht="13.5" customHeight="1">
      <c r="C366" s="230"/>
      <c r="D366" s="230"/>
      <c r="E366" s="230"/>
      <c r="F366" s="349" t="s">
        <v>6235</v>
      </c>
      <c r="J366" s="4635">
        <f>IF(J365=0,0,J363/J365)</f>
        <v>0</v>
      </c>
      <c r="K366" s="4636"/>
      <c r="M366" s="4525">
        <f>IF($J365=0,0,$M363/$J365)</f>
        <v>0</v>
      </c>
      <c r="N366" s="4526"/>
      <c r="O366" s="4526"/>
      <c r="P366" s="4527"/>
    </row>
    <row r="367" spans="1:18" s="36" customFormat="1" ht="12.75" customHeight="1">
      <c r="C367" s="230"/>
      <c r="D367" s="230"/>
      <c r="E367" s="230"/>
      <c r="F367" s="44" t="s">
        <v>6236</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193" t="s">
        <v>6600</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3240</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2469</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0" t="s">
        <v>3884</v>
      </c>
      <c r="E380" s="3551"/>
      <c r="F380" s="3551"/>
      <c r="G380" s="3551"/>
      <c r="H380" s="3551"/>
      <c r="I380" s="3552"/>
      <c r="J380" s="108" t="s">
        <v>2519</v>
      </c>
      <c r="L380" s="410">
        <f>'Part II-Sources of Funds'!$I$53</f>
        <v>4715415</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8">
        <v>2</v>
      </c>
      <c r="N382" s="128" t="s">
        <v>1841</v>
      </c>
      <c r="O382" s="459"/>
      <c r="P382" s="1078"/>
      <c r="Q382" s="798" t="str">
        <f>IF(OR($O382=$M382,$O382=0,$O382=""),"","*CHECK!*")</f>
        <v/>
      </c>
      <c r="R382" s="795" t="s">
        <v>4057</v>
      </c>
    </row>
    <row r="383" spans="1:22" s="332" customFormat="1" ht="12" customHeight="1">
      <c r="A383" s="331"/>
      <c r="B383" s="4215" t="s">
        <v>6601</v>
      </c>
      <c r="C383" s="4215"/>
      <c r="D383" s="4215"/>
      <c r="E383" s="4215"/>
      <c r="F383" s="4215"/>
      <c r="G383" s="4215"/>
      <c r="H383" s="4215"/>
      <c r="I383" s="4215"/>
      <c r="J383" s="4215"/>
      <c r="K383" s="4215"/>
      <c r="L383" s="4215"/>
      <c r="M383" s="4617" t="s">
        <v>3885</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76</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76</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1</v>
      </c>
      <c r="P386" s="4616"/>
      <c r="Q386" s="147"/>
    </row>
    <row r="387" spans="1:19" s="36" customFormat="1" ht="105.75" customHeight="1">
      <c r="A387" s="411"/>
      <c r="B387" s="4244" t="s">
        <v>3413</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2517</v>
      </c>
      <c r="J391" s="410">
        <f>'Part V-Revenues &amp; Expenses'!$P$67</f>
        <v>76</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6606</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6607</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6238</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6608</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6131</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6132</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6743</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6697</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4062</v>
      </c>
      <c r="H467" s="68" t="s">
        <v>4063</v>
      </c>
      <c r="I467" s="1848" t="s">
        <v>4061</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4065</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4064</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4064</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4064</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4064</v>
      </c>
      <c r="J475" s="68" t="s">
        <v>3030</v>
      </c>
      <c r="K475" s="68"/>
      <c r="L475" s="503"/>
      <c r="M475" s="68"/>
      <c r="N475" s="882"/>
      <c r="O475" s="2407">
        <v>1</v>
      </c>
      <c r="P475" s="2407"/>
      <c r="Q475" s="68"/>
    </row>
    <row r="476" spans="1:17" s="115" customFormat="1">
      <c r="C476" s="503"/>
      <c r="D476" s="68"/>
      <c r="E476" s="68"/>
      <c r="F476" s="68"/>
      <c r="G476" s="1508" t="s">
        <v>1909</v>
      </c>
      <c r="H476" s="882" t="s">
        <v>4065</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4065</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4064</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4065</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4064</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4064</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4064</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4064</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4064</v>
      </c>
      <c r="J484" s="68" t="s">
        <v>3335</v>
      </c>
      <c r="K484" s="68"/>
      <c r="L484" s="503"/>
      <c r="M484" s="68"/>
      <c r="N484" s="882"/>
      <c r="O484" s="2407"/>
      <c r="P484" s="2407"/>
      <c r="Q484" s="68"/>
    </row>
    <row r="485" spans="1:17" s="115" customFormat="1">
      <c r="C485" s="503"/>
      <c r="D485" s="68"/>
      <c r="E485" s="68"/>
      <c r="F485" s="68"/>
      <c r="G485" s="1508" t="s">
        <v>921</v>
      </c>
      <c r="H485" s="882">
        <v>2020</v>
      </c>
      <c r="I485" s="882" t="s">
        <v>4064</v>
      </c>
      <c r="J485" s="68" t="s">
        <v>3330</v>
      </c>
      <c r="K485" s="68"/>
      <c r="L485" s="503"/>
      <c r="M485" s="68"/>
      <c r="N485" s="882"/>
      <c r="O485" s="2407"/>
      <c r="P485" s="2407"/>
      <c r="Q485" s="68"/>
    </row>
    <row r="486" spans="1:17" s="115" customFormat="1">
      <c r="C486" s="503"/>
      <c r="D486" s="68"/>
      <c r="E486" s="68"/>
      <c r="F486" s="68"/>
      <c r="G486" s="1508" t="s">
        <v>532</v>
      </c>
      <c r="H486" s="882">
        <v>2020</v>
      </c>
      <c r="I486" s="882" t="s">
        <v>4064</v>
      </c>
      <c r="J486" s="68" t="s">
        <v>3253</v>
      </c>
      <c r="K486" s="68"/>
      <c r="L486" s="503"/>
      <c r="M486" s="68"/>
      <c r="N486" s="882"/>
      <c r="O486" s="2407"/>
      <c r="P486" s="2407"/>
      <c r="Q486" s="68"/>
    </row>
    <row r="487" spans="1:17" s="115" customFormat="1">
      <c r="C487" s="503"/>
      <c r="D487" s="68"/>
      <c r="E487" s="68"/>
      <c r="F487" s="68"/>
      <c r="G487" s="1508" t="s">
        <v>809</v>
      </c>
      <c r="H487" s="882" t="s">
        <v>4065</v>
      </c>
      <c r="I487" s="1848" t="s">
        <v>2453</v>
      </c>
      <c r="J487" s="68" t="s">
        <v>3326</v>
      </c>
      <c r="K487" s="68"/>
      <c r="L487" s="503"/>
      <c r="M487" s="68"/>
      <c r="N487" s="882"/>
      <c r="O487" s="2407"/>
      <c r="P487" s="2407"/>
      <c r="Q487" s="68"/>
    </row>
    <row r="488" spans="1:17" s="115" customFormat="1">
      <c r="C488" s="503"/>
      <c r="D488" s="68"/>
      <c r="E488" s="68"/>
      <c r="F488" s="68"/>
      <c r="G488" s="1508" t="s">
        <v>3019</v>
      </c>
      <c r="H488" s="882">
        <v>2019</v>
      </c>
      <c r="I488" s="882" t="s">
        <v>4064</v>
      </c>
      <c r="J488" s="68" t="s">
        <v>3254</v>
      </c>
      <c r="K488" s="68"/>
      <c r="L488" s="503"/>
      <c r="M488" s="68"/>
      <c r="N488" s="882"/>
      <c r="O488" s="2407"/>
      <c r="P488" s="2407"/>
      <c r="Q488" s="68"/>
    </row>
    <row r="489" spans="1:17" s="115" customFormat="1">
      <c r="C489" s="68"/>
      <c r="D489" s="68"/>
      <c r="E489" s="68"/>
      <c r="F489" s="68"/>
      <c r="G489" s="1508" t="s">
        <v>764</v>
      </c>
      <c r="H489" s="882">
        <v>2019</v>
      </c>
      <c r="I489" s="882" t="s">
        <v>4064</v>
      </c>
      <c r="J489" s="68" t="s">
        <v>3327</v>
      </c>
      <c r="K489" s="68"/>
      <c r="L489" s="503"/>
      <c r="M489" s="68"/>
      <c r="N489" s="882"/>
      <c r="O489" s="2407"/>
      <c r="P489" s="2407"/>
      <c r="Q489" s="68"/>
    </row>
    <row r="490" spans="1:17" s="115" customFormat="1">
      <c r="C490" s="68"/>
      <c r="D490" s="68"/>
      <c r="E490" s="68"/>
      <c r="F490" s="68"/>
      <c r="G490" s="1508" t="s">
        <v>172</v>
      </c>
      <c r="H490" s="882">
        <v>2019</v>
      </c>
      <c r="I490" s="882" t="s">
        <v>4064</v>
      </c>
      <c r="J490" s="68" t="s">
        <v>3255</v>
      </c>
      <c r="K490" s="68"/>
      <c r="L490" s="68"/>
      <c r="M490" s="68"/>
      <c r="N490" s="882"/>
      <c r="O490" s="2407"/>
      <c r="P490" s="2407"/>
      <c r="Q490" s="68"/>
    </row>
    <row r="491" spans="1:17" s="115" customFormat="1">
      <c r="C491" s="68"/>
      <c r="D491" s="68"/>
      <c r="E491" s="68"/>
      <c r="F491" s="68"/>
      <c r="G491" s="1508" t="s">
        <v>3344</v>
      </c>
      <c r="H491" s="882" t="s">
        <v>4065</v>
      </c>
      <c r="I491" s="1848" t="s">
        <v>2453</v>
      </c>
      <c r="J491" s="68" t="s">
        <v>3328</v>
      </c>
      <c r="K491" s="68"/>
      <c r="L491" s="503"/>
      <c r="M491" s="68"/>
      <c r="N491" s="882"/>
      <c r="O491" s="2407"/>
      <c r="P491" s="2407"/>
      <c r="Q491" s="68"/>
    </row>
    <row r="492" spans="1:17" s="115" customFormat="1">
      <c r="C492" s="68"/>
      <c r="D492" s="68"/>
      <c r="E492" s="68"/>
      <c r="F492" s="68"/>
      <c r="G492" s="1508" t="s">
        <v>507</v>
      </c>
      <c r="H492" s="882">
        <v>2020</v>
      </c>
      <c r="I492" s="882" t="s">
        <v>4064</v>
      </c>
      <c r="J492" s="68" t="s">
        <v>3331</v>
      </c>
      <c r="K492" s="68"/>
      <c r="L492" s="503"/>
      <c r="M492" s="68"/>
      <c r="N492" s="882"/>
      <c r="O492" s="2407"/>
      <c r="P492" s="2407"/>
      <c r="Q492" s="68"/>
    </row>
    <row r="493" spans="1:17" s="115" customFormat="1">
      <c r="C493" s="68"/>
      <c r="D493" s="68"/>
      <c r="E493" s="68"/>
      <c r="F493" s="68"/>
      <c r="G493" s="1508" t="s">
        <v>376</v>
      </c>
      <c r="H493" s="882">
        <v>2020</v>
      </c>
      <c r="I493" s="882" t="s">
        <v>4064</v>
      </c>
      <c r="J493" s="68" t="s">
        <v>3334</v>
      </c>
      <c r="K493" s="68"/>
      <c r="L493" s="68"/>
      <c r="M493" s="68"/>
      <c r="N493" s="882"/>
      <c r="O493" s="2407"/>
      <c r="P493" s="2407"/>
      <c r="Q493" s="68"/>
    </row>
    <row r="494" spans="1:17" s="115" customFormat="1">
      <c r="C494" s="68"/>
      <c r="D494" s="697"/>
      <c r="E494" s="68"/>
      <c r="F494" s="68"/>
      <c r="G494" s="1508" t="s">
        <v>1349</v>
      </c>
      <c r="H494" s="882" t="s">
        <v>4065</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4065</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4064</v>
      </c>
      <c r="J496" s="68" t="s">
        <v>3329</v>
      </c>
      <c r="K496" s="68"/>
      <c r="L496" s="503"/>
      <c r="M496" s="68"/>
      <c r="N496" s="882"/>
      <c r="O496" s="2407"/>
      <c r="P496" s="2407"/>
      <c r="Q496" s="68"/>
    </row>
    <row r="497" spans="3:17" s="115" customFormat="1">
      <c r="C497" s="68"/>
      <c r="D497" s="68"/>
      <c r="E497" s="68"/>
      <c r="F497" s="68"/>
      <c r="G497" s="1508" t="s">
        <v>1352</v>
      </c>
      <c r="H497" s="882">
        <v>2019</v>
      </c>
      <c r="I497" s="882" t="s">
        <v>4064</v>
      </c>
      <c r="J497" s="68" t="s">
        <v>3332</v>
      </c>
      <c r="K497" s="68"/>
      <c r="L497" s="68"/>
      <c r="M497" s="68"/>
      <c r="N497" s="882"/>
      <c r="O497" s="2407"/>
      <c r="P497" s="2407"/>
      <c r="Q497" s="68"/>
    </row>
    <row r="498" spans="3:17" s="115" customFormat="1">
      <c r="C498" s="68"/>
      <c r="D498" s="68"/>
      <c r="E498" s="68"/>
      <c r="F498" s="68"/>
      <c r="G498" s="1508" t="s">
        <v>235</v>
      </c>
      <c r="H498" s="882">
        <v>2019</v>
      </c>
      <c r="I498" s="882" t="s">
        <v>4064</v>
      </c>
      <c r="J498" s="68" t="s">
        <v>3333</v>
      </c>
      <c r="K498" s="68"/>
      <c r="L498" s="503"/>
      <c r="M498" s="68"/>
      <c r="N498" s="882"/>
      <c r="O498" s="2407"/>
      <c r="P498" s="2407"/>
      <c r="Q498" s="68"/>
    </row>
    <row r="499" spans="3:17" s="115" customFormat="1">
      <c r="C499" s="68"/>
      <c r="D499" s="68"/>
      <c r="E499" s="68"/>
      <c r="F499" s="68"/>
      <c r="G499" s="1508" t="s">
        <v>978</v>
      </c>
      <c r="H499" s="882">
        <v>2020</v>
      </c>
      <c r="I499" s="882" t="s">
        <v>4064</v>
      </c>
      <c r="J499" s="68" t="s">
        <v>3258</v>
      </c>
      <c r="K499" s="68"/>
      <c r="L499" s="503"/>
      <c r="M499" s="68"/>
      <c r="N499" s="882"/>
      <c r="O499" s="2407"/>
      <c r="P499" s="2407"/>
      <c r="Q499" s="68"/>
    </row>
    <row r="500" spans="3:17" s="115" customFormat="1">
      <c r="C500" s="697"/>
      <c r="D500" s="68"/>
      <c r="E500" s="68"/>
      <c r="F500" s="68"/>
      <c r="G500" s="1508" t="s">
        <v>2096</v>
      </c>
      <c r="H500" s="882">
        <v>2020</v>
      </c>
      <c r="I500" s="882" t="s">
        <v>4064</v>
      </c>
      <c r="J500" s="68" t="s">
        <v>3259</v>
      </c>
      <c r="K500" s="68"/>
      <c r="L500" s="503"/>
      <c r="M500" s="68"/>
      <c r="N500" s="882"/>
      <c r="O500" s="2407"/>
      <c r="P500" s="2407"/>
      <c r="Q500" s="68"/>
    </row>
    <row r="501" spans="3:17" s="115" customFormat="1">
      <c r="C501" s="697"/>
      <c r="D501" s="68"/>
      <c r="E501" s="68"/>
      <c r="F501" s="68"/>
      <c r="G501" s="1508" t="s">
        <v>4059</v>
      </c>
      <c r="H501" s="882" t="s">
        <v>4065</v>
      </c>
      <c r="I501" s="1848" t="s">
        <v>2453</v>
      </c>
      <c r="J501" s="68"/>
      <c r="K501" s="68"/>
      <c r="L501" s="503"/>
      <c r="M501" s="68"/>
      <c r="N501" s="882"/>
      <c r="O501" s="2407"/>
      <c r="P501" s="2407"/>
      <c r="Q501" s="68"/>
    </row>
    <row r="502" spans="3:17" s="115" customFormat="1">
      <c r="C502" s="697"/>
      <c r="D502" s="68"/>
      <c r="E502" s="68"/>
      <c r="F502" s="68"/>
      <c r="G502" s="1508" t="s">
        <v>1749</v>
      </c>
      <c r="H502" s="882" t="s">
        <v>4065</v>
      </c>
      <c r="I502" s="1848" t="s">
        <v>2453</v>
      </c>
      <c r="J502" s="68"/>
      <c r="K502" s="68"/>
      <c r="L502" s="503"/>
      <c r="M502" s="68"/>
      <c r="N502" s="882"/>
      <c r="O502" s="2407"/>
      <c r="P502" s="2407"/>
      <c r="Q502" s="68"/>
    </row>
    <row r="503" spans="3:17" s="115" customFormat="1">
      <c r="C503" s="697"/>
      <c r="D503" s="68"/>
      <c r="E503" s="68"/>
      <c r="F503" s="68"/>
      <c r="G503" s="1508" t="s">
        <v>472</v>
      </c>
      <c r="H503" s="882" t="s">
        <v>4065</v>
      </c>
      <c r="I503" s="1848" t="s">
        <v>2453</v>
      </c>
      <c r="J503" s="68"/>
      <c r="K503" s="68"/>
      <c r="L503" s="503"/>
      <c r="M503" s="68"/>
      <c r="N503" s="882"/>
      <c r="O503" s="2407"/>
      <c r="P503" s="2407"/>
      <c r="Q503" s="68"/>
    </row>
    <row r="504" spans="3:17" s="115" customFormat="1">
      <c r="C504" s="697"/>
      <c r="D504" s="68"/>
      <c r="E504" s="68"/>
      <c r="F504" s="68"/>
      <c r="G504" s="1508" t="s">
        <v>1951</v>
      </c>
      <c r="H504" s="882" t="s">
        <v>4065</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4064</v>
      </c>
      <c r="J505" s="68"/>
      <c r="K505" s="68"/>
      <c r="L505" s="503"/>
      <c r="M505" s="68"/>
      <c r="N505" s="882"/>
      <c r="O505" s="2407"/>
      <c r="P505" s="2407"/>
      <c r="Q505" s="68"/>
    </row>
    <row r="506" spans="3:17" s="115" customFormat="1">
      <c r="C506" s="697"/>
      <c r="D506" s="68"/>
      <c r="E506" s="68"/>
      <c r="F506" s="68"/>
      <c r="G506" s="1508" t="s">
        <v>1974</v>
      </c>
      <c r="H506" s="882">
        <v>2020</v>
      </c>
      <c r="I506" s="882" t="s">
        <v>4064</v>
      </c>
      <c r="J506" s="68"/>
      <c r="K506" s="68"/>
      <c r="L506" s="68"/>
      <c r="M506" s="68"/>
      <c r="N506" s="882"/>
      <c r="O506" s="2407"/>
      <c r="P506" s="2407"/>
      <c r="Q506" s="68"/>
    </row>
    <row r="507" spans="3:17" s="115" customFormat="1">
      <c r="C507" s="68"/>
      <c r="D507" s="68"/>
      <c r="E507" s="68"/>
      <c r="F507" s="68"/>
      <c r="G507" s="1508" t="s">
        <v>2154</v>
      </c>
      <c r="H507" s="882">
        <v>2019</v>
      </c>
      <c r="I507" s="882" t="s">
        <v>4064</v>
      </c>
      <c r="J507" s="68"/>
      <c r="K507" s="68"/>
      <c r="L507" s="68"/>
      <c r="M507" s="68"/>
      <c r="N507" s="882"/>
      <c r="O507" s="2407"/>
      <c r="P507" s="2407"/>
      <c r="Q507" s="68"/>
    </row>
    <row r="508" spans="3:17" s="115" customFormat="1">
      <c r="C508" s="68"/>
      <c r="D508" s="68"/>
      <c r="E508" s="68"/>
      <c r="F508" s="68"/>
      <c r="G508" s="1508" t="s">
        <v>4060</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4064</v>
      </c>
      <c r="J509" s="68"/>
      <c r="K509" s="68"/>
      <c r="L509" s="68"/>
      <c r="M509" s="68"/>
      <c r="N509" s="882"/>
      <c r="O509" s="2407"/>
      <c r="P509" s="2407"/>
      <c r="Q509" s="68"/>
    </row>
    <row r="510" spans="3:17" s="115" customFormat="1">
      <c r="C510" s="68"/>
      <c r="D510" s="68"/>
      <c r="E510" s="68"/>
      <c r="F510" s="68"/>
      <c r="G510" s="1508" t="s">
        <v>1577</v>
      </c>
      <c r="H510" s="882">
        <v>2020</v>
      </c>
      <c r="I510" s="882" t="s">
        <v>4064</v>
      </c>
      <c r="J510" s="68"/>
      <c r="K510" s="68"/>
      <c r="L510" s="68"/>
      <c r="M510" s="68"/>
      <c r="N510" s="882"/>
      <c r="O510" s="2407"/>
      <c r="P510" s="2407"/>
      <c r="Q510" s="68"/>
    </row>
    <row r="511" spans="3:17" s="115" customFormat="1">
      <c r="C511" s="68"/>
      <c r="D511" s="68"/>
      <c r="E511" s="68"/>
      <c r="F511" s="68"/>
      <c r="G511" s="1508" t="s">
        <v>1582</v>
      </c>
      <c r="H511" s="882">
        <v>2020</v>
      </c>
      <c r="I511" s="882" t="s">
        <v>4064</v>
      </c>
      <c r="J511" s="68"/>
      <c r="K511" s="68"/>
      <c r="L511" s="68"/>
      <c r="M511" s="68"/>
      <c r="N511" s="882"/>
      <c r="O511" s="2407"/>
      <c r="P511" s="2407"/>
      <c r="Q511" s="68"/>
    </row>
    <row r="512" spans="3:17" s="115" customFormat="1">
      <c r="C512" s="68"/>
      <c r="D512" s="68"/>
      <c r="E512" s="68"/>
      <c r="F512" s="68"/>
      <c r="G512" s="1508" t="s">
        <v>1590</v>
      </c>
      <c r="H512" s="882">
        <v>2020</v>
      </c>
      <c r="I512" s="882" t="s">
        <v>4064</v>
      </c>
      <c r="J512" s="68"/>
      <c r="K512" s="68"/>
      <c r="L512" s="68"/>
      <c r="M512" s="68"/>
      <c r="N512" s="882"/>
      <c r="O512" s="2407"/>
      <c r="P512" s="2407"/>
      <c r="Q512" s="68"/>
    </row>
    <row r="513" spans="3:17" s="115" customFormat="1">
      <c r="C513" s="68"/>
      <c r="D513" s="68"/>
      <c r="E513" s="68"/>
      <c r="F513" s="68"/>
      <c r="G513" s="1508" t="s">
        <v>1591</v>
      </c>
      <c r="H513" s="882">
        <v>2019</v>
      </c>
      <c r="I513" s="882" t="s">
        <v>4064</v>
      </c>
      <c r="J513" s="68"/>
      <c r="K513" s="68"/>
      <c r="L513" s="68"/>
      <c r="M513" s="68"/>
      <c r="N513" s="882"/>
      <c r="O513" s="2407"/>
      <c r="P513" s="2407"/>
      <c r="Q513" s="68"/>
    </row>
    <row r="514" spans="3:17" s="115" customFormat="1">
      <c r="C514" s="68"/>
      <c r="D514" s="68"/>
      <c r="E514" s="68"/>
      <c r="F514" s="68"/>
      <c r="G514" s="1508" t="s">
        <v>100</v>
      </c>
      <c r="H514" s="882">
        <v>2020</v>
      </c>
      <c r="I514" s="882" t="s">
        <v>4064</v>
      </c>
      <c r="J514" s="68"/>
      <c r="K514" s="68"/>
      <c r="L514" s="68"/>
      <c r="M514" s="68"/>
      <c r="N514" s="882"/>
      <c r="O514" s="2407"/>
      <c r="P514" s="2407"/>
      <c r="Q514" s="68"/>
    </row>
    <row r="515" spans="3:17" s="115" customFormat="1">
      <c r="C515" s="68"/>
      <c r="D515" s="68"/>
      <c r="E515" s="68"/>
      <c r="F515" s="68"/>
      <c r="G515" s="1508" t="s">
        <v>285</v>
      </c>
      <c r="H515" s="882">
        <v>2020</v>
      </c>
      <c r="I515" s="882" t="s">
        <v>4064</v>
      </c>
      <c r="J515" s="68"/>
      <c r="K515" s="68"/>
      <c r="L515" s="68"/>
      <c r="M515" s="68"/>
      <c r="N515" s="882"/>
      <c r="O515" s="2407"/>
      <c r="P515" s="2407"/>
      <c r="Q515" s="68"/>
    </row>
    <row r="516" spans="3:17" s="115" customFormat="1">
      <c r="C516" s="68"/>
      <c r="D516" s="68"/>
      <c r="E516" s="68"/>
      <c r="F516" s="68"/>
      <c r="G516" s="1508" t="s">
        <v>1442</v>
      </c>
      <c r="H516" s="882" t="s">
        <v>4065</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dataValidation type="list" allowBlank="1" showInputMessage="1" showErrorMessage="1" sqref="P168 P433 P396 P189 P151 P377 P404 P417 P406 P423 P427 P42:P44 P48:P49">
      <formula1>"Yes, No"</formula1>
    </dataValidation>
    <dataValidation type="whole" operator="lessThanOrEqual" allowBlank="1" showInputMessage="1" showErrorMessage="1" sqref="P94">
      <formula1>$M94</formula1>
    </dataValidation>
    <dataValidation type="list" allowBlank="1" showInputMessage="1" showErrorMessage="1" sqref="F76:F87 J77 J79 J81 J83 J85 J87 O77:P77 O80:P87 P69 P13:P32">
      <formula1>"0,1"</formula1>
    </dataValidation>
    <dataValidation type="whole" operator="equal" allowBlank="1" showErrorMessage="1" errorTitle="Incorrect Point Value Entered" error="Please re-check the point value for this criterion." sqref="O94:O95">
      <formula1>$M94</formula1>
    </dataValidation>
    <dataValidation type="decimal" operator="lessThanOrEqual" allowBlank="1" showInputMessage="1" showErrorMessage="1" sqref="O106:P106 O152:P152 O133:P133">
      <formula1>$M106</formula1>
    </dataValidation>
    <dataValidation type="list" allowBlank="1" showInputMessage="1" showErrorMessage="1" sqref="L208">
      <formula1>"Site Census Tract, Other Census Tract"</formula1>
    </dataValidation>
    <dataValidation type="list" allowBlank="1" showInputMessage="1" showErrorMessage="1" sqref="E216 J216">
      <formula1>"Above 60th Percentile/Below 80th Percentile, At or Above 80th Percentile, At or Below 60th Percentile"</formula1>
    </dataValidation>
    <dataValidation type="list" allowBlank="1" showInputMessage="1" showErrorMessage="1" sqref="J213:J215 E213:E215">
      <formula1>"Above 60th Percentile, At or Below 60th Percentile"</formula1>
    </dataValidation>
    <dataValidation type="list" allowBlank="1" showInputMessage="1" showErrorMessage="1" sqref="I214:I216">
      <formula1>"2018,2019,2020"</formula1>
    </dataValidation>
    <dataValidation type="whole" operator="equal" allowBlank="1" showInputMessage="1" showErrorMessage="1" sqref="P143 P141">
      <formula1>$M141</formula1>
    </dataValidation>
    <dataValidation type="list" allowBlank="1" showInputMessage="1" showErrorMessage="1" sqref="P424 O418">
      <formula1>"2, 4, 6"</formula1>
    </dataValidation>
    <dataValidation type="list" allowBlank="1" showInputMessage="1" showErrorMessage="1" sqref="O428:P428">
      <formula1>"2, 3, 4"</formula1>
    </dataValidation>
    <dataValidation type="list" allowBlank="1" showInputMessage="1" showErrorMessage="1" sqref="O435:P435">
      <formula1>"4, 6"</formula1>
    </dataValidation>
    <dataValidation type="list" allowBlank="1" showInputMessage="1" showErrorMessage="1" sqref="O436:P436">
      <formula1>"2, 4"</formula1>
    </dataValidation>
    <dataValidation type="list" allowBlank="1" showInputMessage="1" showErrorMessage="1" sqref="O134:P134">
      <formula1>"4, 4.5, 5"</formula1>
    </dataValidation>
    <dataValidation type="list" allowBlank="1" showInputMessage="1" showErrorMessage="1" sqref="O139:P140">
      <formula1>"1,2,3"</formula1>
    </dataValidation>
    <dataValidation type="list" allowBlank="1" showInputMessage="1" showErrorMessage="1" sqref="O291:P293">
      <formula1>"Yes, No, N/a, TBD"</formula1>
    </dataValidation>
    <dataValidation type="list" allowBlank="1" showInputMessage="1" showErrorMessage="1" sqref="I289:L289">
      <formula1>"Select Certification, GDOAS Minority Business Enterprise Certification, GDOT Disadvantaged Business Enterprise, NMSDC, TBD (only if Option A)"</formula1>
    </dataValidation>
    <dataValidation type="list" allowBlank="1" showInputMessage="1" showErrorMessage="1" sqref="M55:P56">
      <formula1>"&lt;&lt; Select Activity Type &gt;&gt;, New Supply, Preservation"</formula1>
    </dataValidation>
    <dataValidation type="list" allowBlank="1" showInputMessage="1" showErrorMessage="1" sqref="M60:P61">
      <formula1>"&lt;&lt; Select Pool &gt;&gt;, Rural, Other Metro, Atlanta Metro, N/A-4%"</formula1>
    </dataValidation>
    <dataValidation type="list" allowBlank="1" showInputMessage="1" showErrorMessage="1" sqref="J208:K208">
      <formula1>"&lt;&lt; Select &gt;&gt;,Site Census Tract, Other Census Tract"</formula1>
    </dataValidation>
    <dataValidation type="list" allowBlank="1" showInputMessage="1" showErrorMessage="1" sqref="P418">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Freedom's Path Augusta III</v>
      </c>
      <c r="B2" s="4726"/>
      <c r="C2" s="4726"/>
      <c r="D2" s="4726"/>
      <c r="E2" s="4726"/>
      <c r="F2" s="4726"/>
      <c r="G2" s="4726"/>
      <c r="H2" s="4726"/>
      <c r="I2" s="4726"/>
      <c r="J2" s="4726"/>
    </row>
    <row r="3" spans="1:16" ht="15.75">
      <c r="A3" s="4726" t="str">
        <f>'Subsidy Layering Memo'!F14</f>
        <v>Augusta, Richmond</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30"/>
      <c r="N7" s="4730"/>
      <c r="O7" s="4730"/>
      <c r="P7" s="4730"/>
    </row>
    <row r="8" spans="1:16" ht="57" customHeight="1">
      <c r="A8" s="4731" t="s">
        <v>6150</v>
      </c>
      <c r="B8" s="4731"/>
      <c r="C8" s="4731"/>
      <c r="D8" s="4731"/>
      <c r="E8" s="4731"/>
      <c r="F8" s="4731"/>
      <c r="G8" s="4731"/>
      <c r="H8" s="4731"/>
      <c r="I8" s="4731"/>
      <c r="J8" s="4731"/>
      <c r="K8" s="508"/>
    </row>
    <row r="9" spans="1:16" ht="45.75" customHeight="1">
      <c r="A9" s="4731" t="e">
        <f ca="1">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#NAME?</v>
      </c>
      <c r="B9" s="4731"/>
      <c r="C9" s="4731"/>
      <c r="D9" s="4731"/>
      <c r="E9" s="4731"/>
      <c r="F9" s="4731"/>
      <c r="G9" s="4731"/>
      <c r="H9" s="4731"/>
      <c r="I9" s="4731"/>
      <c r="J9" s="4731"/>
      <c r="K9" s="508"/>
    </row>
    <row r="10" spans="1:16" ht="15.75">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2585</v>
      </c>
      <c r="B14" s="510"/>
    </row>
    <row r="15" spans="1:16">
      <c r="A15" s="507" t="s">
        <v>2586</v>
      </c>
      <c r="D15" s="1020" t="s">
        <v>2587</v>
      </c>
    </row>
    <row r="16" spans="1:16">
      <c r="A16" s="507" t="s">
        <v>2588</v>
      </c>
      <c r="D16" s="1254">
        <f>'Sensitivity Analysis'!C25</f>
        <v>0</v>
      </c>
    </row>
    <row r="17" spans="1:11">
      <c r="A17" s="511" t="s">
        <v>2589</v>
      </c>
      <c r="D17" s="1255">
        <f>'Sensitivity Analysis'!C13</f>
        <v>76</v>
      </c>
    </row>
    <row r="18" spans="1:11" ht="14.25" customHeight="1"/>
    <row r="19" spans="1:11" ht="15.75">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e">
        <f ca="1">'Subsidy Layering Memo'!A67</f>
        <v>#NAME?</v>
      </c>
      <c r="B21" s="4731"/>
      <c r="C21" s="4731"/>
      <c r="D21" s="4731"/>
      <c r="E21" s="4731"/>
      <c r="F21" s="4731"/>
      <c r="G21" s="4731"/>
      <c r="H21" s="4731"/>
      <c r="I21" s="4731"/>
      <c r="J21" s="4731"/>
    </row>
    <row r="22" spans="1:11" ht="43.5" customHeight="1">
      <c r="A22" s="4735" t="e">
        <f ca="1">'Subsidy Layering Memo'!A68</f>
        <v>#NAME?</v>
      </c>
      <c r="B22" s="4735"/>
      <c r="C22" s="4735"/>
      <c r="D22" s="4735"/>
      <c r="E22" s="4735"/>
      <c r="F22" s="4735"/>
      <c r="G22" s="4735"/>
      <c r="H22" s="4735"/>
      <c r="I22" s="4735"/>
      <c r="J22" s="4735"/>
    </row>
    <row r="23" spans="1:11" ht="15.75">
      <c r="A23" s="509" t="s">
        <v>6151</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4"/>
  <sheetViews>
    <sheetView showGridLines="0" topLeftCell="A20" zoomScaleNormal="100" workbookViewId="0">
      <selection activeCell="F26" sqref="F26:H26"/>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 customHeight="1">
      <c r="A2" s="3031" t="str">
        <f>CONCATENATE("PART ONE - PROJECT INFORMATION"," - ",$O$7," ",$F$25,", ",'Part I-Project Identification'!F26,", ",'Part I-Project Identification'!J26," County")</f>
        <v>PART ONE - PROJECT INFORMATION - 2023-0 Freedom's Path Augusta III, Augusta, Richmond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6744</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7034</v>
      </c>
      <c r="B6" s="3046"/>
      <c r="C6" s="3046"/>
      <c r="D6" s="3046"/>
      <c r="F6" s="242"/>
      <c r="G6" s="224" t="s">
        <v>3822</v>
      </c>
      <c r="L6" s="375"/>
      <c r="P6" s="1788" t="s">
        <v>3289</v>
      </c>
      <c r="Z6" s="1706">
        <v>6</v>
      </c>
    </row>
    <row r="7" spans="1:26" s="144" customFormat="1" ht="12" customHeight="1" thickBot="1">
      <c r="A7" s="3046"/>
      <c r="B7" s="3046"/>
      <c r="C7" s="3046"/>
      <c r="D7" s="3046"/>
      <c r="E7" s="999"/>
      <c r="F7" s="244"/>
      <c r="G7" s="224" t="s">
        <v>6082</v>
      </c>
      <c r="H7" s="248"/>
      <c r="I7" s="248"/>
      <c r="J7" s="248"/>
      <c r="O7" s="3034" t="s">
        <v>6909</v>
      </c>
      <c r="P7" s="3035"/>
      <c r="Q7" s="3048" t="s">
        <v>6633</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1225000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7047</v>
      </c>
      <c r="G12" s="3041"/>
      <c r="H12" s="3042"/>
      <c r="I12" s="1789" t="s">
        <v>6516</v>
      </c>
      <c r="J12" s="393" t="s">
        <v>6943</v>
      </c>
      <c r="K12" s="243"/>
      <c r="L12" s="248"/>
      <c r="O12" s="3043" t="s">
        <v>7048</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3671</v>
      </c>
      <c r="D14" s="246"/>
      <c r="E14" s="245"/>
      <c r="G14" s="245"/>
      <c r="H14" s="245"/>
      <c r="I14" s="751" t="s">
        <v>3293</v>
      </c>
      <c r="L14" s="247"/>
      <c r="Q14" s="3050"/>
      <c r="R14" s="3051"/>
      <c r="S14" s="3052"/>
      <c r="Z14" s="1706">
        <v>14</v>
      </c>
    </row>
    <row r="15" spans="1:26" s="144" customFormat="1">
      <c r="B15" s="144" t="s">
        <v>3294</v>
      </c>
      <c r="F15" s="3016" t="s">
        <v>7035</v>
      </c>
      <c r="G15" s="3017"/>
      <c r="H15" s="3018"/>
      <c r="I15" s="2444" t="s">
        <v>1670</v>
      </c>
      <c r="J15" s="3019" t="s">
        <v>7036</v>
      </c>
      <c r="K15" s="3020"/>
      <c r="L15" s="3021"/>
      <c r="M15" s="1898" t="s">
        <v>1839</v>
      </c>
      <c r="N15" s="3016" t="s">
        <v>7037</v>
      </c>
      <c r="O15" s="3017"/>
      <c r="P15" s="3018"/>
      <c r="Q15" s="3050"/>
      <c r="R15" s="3051"/>
      <c r="S15" s="3052"/>
      <c r="Z15" s="1706">
        <v>15</v>
      </c>
    </row>
    <row r="16" spans="1:26" s="144" customFormat="1" ht="12.75" customHeight="1">
      <c r="B16" s="246" t="s">
        <v>1599</v>
      </c>
      <c r="F16" s="3013">
        <v>4048765895</v>
      </c>
      <c r="G16" s="3014"/>
      <c r="H16" s="3015"/>
      <c r="I16" s="2445" t="s">
        <v>1598</v>
      </c>
      <c r="J16" s="823"/>
      <c r="M16" s="246" t="s">
        <v>1600</v>
      </c>
      <c r="N16" s="3013"/>
      <c r="O16" s="3014"/>
      <c r="P16" s="3015"/>
      <c r="Q16" s="3050"/>
      <c r="R16" s="3051"/>
      <c r="S16" s="3052"/>
      <c r="V16" s="751"/>
      <c r="W16" s="751"/>
      <c r="X16" s="751"/>
      <c r="Z16" s="1706">
        <v>18</v>
      </c>
    </row>
    <row r="17" spans="1:26" s="144" customFormat="1">
      <c r="B17" s="246" t="s">
        <v>1842</v>
      </c>
      <c r="F17" s="3022" t="s">
        <v>7038</v>
      </c>
      <c r="G17" s="3023"/>
      <c r="H17" s="3023"/>
      <c r="I17" s="3020"/>
      <c r="J17" s="3023"/>
      <c r="K17" s="3020"/>
      <c r="L17" s="3021"/>
      <c r="M17" s="246" t="s">
        <v>1838</v>
      </c>
      <c r="N17" s="3024">
        <v>4048765895</v>
      </c>
      <c r="O17" s="3025"/>
      <c r="P17" s="3026"/>
      <c r="Q17" s="3050"/>
      <c r="R17" s="3051"/>
      <c r="S17" s="3052"/>
      <c r="U17" s="751"/>
      <c r="V17" s="751"/>
      <c r="W17" s="751"/>
      <c r="X17" s="751"/>
      <c r="Z17" s="1706">
        <v>19</v>
      </c>
    </row>
    <row r="18" spans="1:26" s="144" customFormat="1">
      <c r="A18" s="375"/>
      <c r="B18" s="243" t="s">
        <v>3670</v>
      </c>
      <c r="C18" s="145"/>
      <c r="H18" s="248"/>
      <c r="J18" s="145"/>
      <c r="P18" s="248"/>
      <c r="Q18" s="3050"/>
      <c r="R18" s="3051"/>
      <c r="S18" s="3052"/>
      <c r="Z18" s="1706">
        <v>20</v>
      </c>
    </row>
    <row r="19" spans="1:26" s="144" customFormat="1">
      <c r="B19" s="144" t="s">
        <v>3294</v>
      </c>
      <c r="F19" s="3016" t="s">
        <v>7085</v>
      </c>
      <c r="G19" s="3017"/>
      <c r="H19" s="3018"/>
      <c r="I19" s="2444" t="s">
        <v>1670</v>
      </c>
      <c r="J19" s="3019" t="s">
        <v>7086</v>
      </c>
      <c r="K19" s="3020"/>
      <c r="L19" s="3021"/>
      <c r="M19" s="1898" t="s">
        <v>1839</v>
      </c>
      <c r="N19" s="3016" t="s">
        <v>7087</v>
      </c>
      <c r="O19" s="3017"/>
      <c r="P19" s="3018"/>
      <c r="Q19" s="3050"/>
      <c r="R19" s="3051"/>
      <c r="S19" s="3052"/>
      <c r="Z19" s="1706">
        <v>21</v>
      </c>
    </row>
    <row r="20" spans="1:26" s="144" customFormat="1">
      <c r="B20" s="246" t="s">
        <v>1599</v>
      </c>
      <c r="F20" s="3013"/>
      <c r="G20" s="3014"/>
      <c r="H20" s="3015"/>
      <c r="I20" s="2445" t="s">
        <v>1598</v>
      </c>
      <c r="J20" s="823"/>
      <c r="M20" s="246" t="s">
        <v>1600</v>
      </c>
      <c r="N20" s="3013"/>
      <c r="O20" s="3014"/>
      <c r="P20" s="3015"/>
      <c r="Q20" s="3050"/>
      <c r="R20" s="3051"/>
      <c r="S20" s="3052"/>
      <c r="U20" s="230"/>
      <c r="V20" s="230"/>
      <c r="W20" s="230"/>
      <c r="X20" s="230"/>
      <c r="Z20" s="1706">
        <v>24</v>
      </c>
    </row>
    <row r="21" spans="1:26" s="144" customFormat="1">
      <c r="B21" s="246" t="s">
        <v>1842</v>
      </c>
      <c r="F21" s="3022" t="s">
        <v>7088</v>
      </c>
      <c r="G21" s="3023"/>
      <c r="H21" s="3023"/>
      <c r="I21" s="3020"/>
      <c r="J21" s="3023"/>
      <c r="K21" s="3020"/>
      <c r="L21" s="3021"/>
      <c r="M21" s="246" t="s">
        <v>1838</v>
      </c>
      <c r="N21" s="3024">
        <v>4046108389</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7111</v>
      </c>
      <c r="G25" s="3027"/>
      <c r="H25" s="3027"/>
      <c r="I25" s="3020"/>
      <c r="J25" s="3027"/>
      <c r="K25" s="3028"/>
      <c r="M25" s="246" t="s">
        <v>425</v>
      </c>
      <c r="P25" s="1899" t="s">
        <v>2649</v>
      </c>
      <c r="Q25" s="3050"/>
      <c r="R25" s="3051"/>
      <c r="S25" s="3052"/>
      <c r="Z25" s="1706">
        <v>29</v>
      </c>
    </row>
    <row r="26" spans="1:26" s="144" customFormat="1">
      <c r="A26" s="375"/>
      <c r="B26" s="144" t="s">
        <v>575</v>
      </c>
      <c r="F26" s="3058" t="s">
        <v>1252</v>
      </c>
      <c r="G26" s="3071"/>
      <c r="H26" s="3072"/>
      <c r="I26" s="257" t="s">
        <v>576</v>
      </c>
      <c r="J26" s="3029" t="str">
        <f>IF(F26="","",VLOOKUP(F26,'DCA Underwriting Assumptions'!$T$141:$U$770,2,FALSE))</f>
        <v>Richmond</v>
      </c>
      <c r="K26" s="3030"/>
      <c r="M26" s="246" t="s">
        <v>426</v>
      </c>
      <c r="P26" s="1956" t="s">
        <v>2652</v>
      </c>
      <c r="Q26" s="3050"/>
      <c r="R26" s="3051"/>
      <c r="S26" s="3052"/>
      <c r="U26" s="375"/>
      <c r="Z26" s="1706">
        <v>30</v>
      </c>
    </row>
    <row r="27" spans="1:26" s="144" customFormat="1" ht="13.5">
      <c r="A27" s="375"/>
      <c r="B27" s="144" t="s">
        <v>3905</v>
      </c>
      <c r="C27" s="251"/>
      <c r="D27" s="252"/>
      <c r="E27" s="252"/>
      <c r="F27" s="3058" t="s">
        <v>7039</v>
      </c>
      <c r="G27" s="3059"/>
      <c r="H27" s="3060"/>
      <c r="I27" s="248"/>
      <c r="J27" s="392" t="s">
        <v>6722</v>
      </c>
      <c r="K27" s="248"/>
      <c r="M27" s="246" t="s">
        <v>6665</v>
      </c>
      <c r="O27" s="3011">
        <v>2.46</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Augusta-Richmond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6652</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6651</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3931</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formula1>1000000000</formula1>
      <formula2>9999999999</formula2>
    </dataValidation>
    <dataValidation type="list" allowBlank="1" showInputMessage="1" showErrorMessage="1" sqref="H32:H33 D29 P34 I34:I37 D27">
      <formula1>"Yes, No"</formula1>
    </dataValidation>
    <dataValidation type="list" showInputMessage="1" showErrorMessage="1" sqref="F28">
      <formula1>"Yes, No"</formula1>
    </dataValidation>
    <dataValidation type="list" allowBlank="1" showInputMessage="1" showErrorMessage="1" sqref="F27:H27">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Freedom's Path Augusta III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4737"/>
      <c r="J7" s="4737"/>
      <c r="K7" s="4737"/>
      <c r="L7" s="567"/>
      <c r="M7" s="507"/>
    </row>
    <row r="8" spans="1:14" ht="15.75">
      <c r="A8" s="576" t="s">
        <v>2647</v>
      </c>
      <c r="B8" s="576"/>
      <c r="C8" s="4737" t="str">
        <f>'Part I-Project Identification'!$F$25</f>
        <v>Freedom's Path Augusta III</v>
      </c>
      <c r="D8" s="4737"/>
      <c r="E8" s="1978" t="str">
        <f>'Part I-Project Identification'!$O$7</f>
        <v>2023-0</v>
      </c>
      <c r="F8" s="576" t="s">
        <v>2648</v>
      </c>
      <c r="G8" s="567"/>
      <c r="H8" s="4737" t="str">
        <f>CONCATENATE('Part I-Project Identification'!$F$26,", ",'Part I-Project Identification'!$J$26)</f>
        <v>Augusta, Richmond</v>
      </c>
      <c r="I8" s="4737"/>
      <c r="J8" s="4737"/>
      <c r="K8" s="4737"/>
      <c r="L8" s="567"/>
      <c r="M8" s="545"/>
    </row>
    <row r="9" spans="1:14" ht="15.75">
      <c r="A9" s="576" t="s">
        <v>2650</v>
      </c>
      <c r="B9" s="576"/>
      <c r="C9" s="4737" t="s">
        <v>1646</v>
      </c>
      <c r="D9" s="4737"/>
      <c r="E9" s="567"/>
      <c r="F9" s="576" t="s">
        <v>2651</v>
      </c>
      <c r="G9" s="567"/>
      <c r="H9" s="4738"/>
      <c r="I9" s="4738"/>
      <c r="J9" s="4738"/>
      <c r="K9" s="4738"/>
      <c r="L9" s="4738"/>
      <c r="M9" s="545"/>
    </row>
    <row r="10" spans="1:14" ht="15.75">
      <c r="A10" s="576" t="s">
        <v>2653</v>
      </c>
      <c r="B10" s="567"/>
      <c r="C10" s="4739"/>
      <c r="D10" s="4739"/>
      <c r="E10" s="567"/>
      <c r="F10" s="576" t="s">
        <v>3131</v>
      </c>
      <c r="G10" s="567"/>
      <c r="H10" s="4736"/>
      <c r="I10" s="4736"/>
      <c r="J10" s="4736"/>
      <c r="K10" s="4736"/>
      <c r="L10" s="4736"/>
    </row>
    <row r="11" spans="1:14" ht="15.75">
      <c r="A11" s="576" t="s">
        <v>2654</v>
      </c>
      <c r="B11" s="567"/>
      <c r="C11" s="4740"/>
      <c r="D11" s="4740"/>
      <c r="E11" s="1992"/>
      <c r="F11" s="576" t="s">
        <v>606</v>
      </c>
      <c r="G11" s="567"/>
      <c r="H11" s="4736"/>
      <c r="I11" s="4736"/>
      <c r="J11" s="4736"/>
      <c r="K11" s="4736"/>
      <c r="L11" s="4736"/>
      <c r="M11" s="4741"/>
      <c r="N11" s="4742"/>
    </row>
    <row r="12" spans="1:14" ht="15.75">
      <c r="A12" s="576" t="s">
        <v>2655</v>
      </c>
      <c r="B12" s="567"/>
      <c r="C12" s="4740"/>
      <c r="D12" s="4740"/>
      <c r="E12" s="567"/>
      <c r="F12" s="576" t="s">
        <v>2656</v>
      </c>
      <c r="G12" s="567"/>
      <c r="H12" s="4740"/>
      <c r="I12" s="4740"/>
      <c r="J12" s="4740"/>
      <c r="K12" s="4740"/>
      <c r="L12" s="4740"/>
      <c r="M12" s="507"/>
    </row>
    <row r="13" spans="1:14" ht="15.75">
      <c r="A13" s="576" t="s">
        <v>2657</v>
      </c>
      <c r="B13" s="576"/>
      <c r="C13" s="1979">
        <f>'Part V-Revenues &amp; Expenses'!$P$67</f>
        <v>76</v>
      </c>
      <c r="D13" s="26"/>
      <c r="E13" s="1980">
        <f>'Part V-Revenues &amp; Expenses'!$P$63</f>
        <v>56</v>
      </c>
      <c r="F13" s="576" t="s">
        <v>3450</v>
      </c>
      <c r="G13" s="567"/>
      <c r="H13" s="1990"/>
      <c r="I13" s="1982"/>
      <c r="J13" s="1982"/>
      <c r="K13" s="1981">
        <f>'Part V-Revenues &amp; Expenses'!$K$175</f>
        <v>79020</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3099</v>
      </c>
      <c r="I14" s="4743"/>
      <c r="J14" s="4743"/>
      <c r="K14" s="4743" t="s">
        <v>3099</v>
      </c>
      <c r="L14" s="4743"/>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26653520</v>
      </c>
      <c r="D18" s="1986">
        <f>IF(C18=0,"",$C$29/C18)</f>
        <v>0</v>
      </c>
      <c r="E18" s="567" t="s">
        <v>2953</v>
      </c>
      <c r="F18" s="576" t="s">
        <v>6748</v>
      </c>
      <c r="G18" s="567"/>
      <c r="H18" s="4744">
        <f>'Part III-A-Uses of Funds'!$C$49</f>
        <v>20375768</v>
      </c>
      <c r="I18" s="4744"/>
      <c r="J18" s="1987">
        <f>IF(H18=0,"",$C$29/H18)</f>
        <v>0</v>
      </c>
      <c r="K18" s="4737" t="s">
        <v>2955</v>
      </c>
      <c r="L18" s="4737"/>
      <c r="M18" s="507"/>
    </row>
    <row r="19" spans="1:13" ht="15.75">
      <c r="A19" s="576" t="s">
        <v>2660</v>
      </c>
      <c r="B19" s="567"/>
      <c r="C19" s="1988">
        <f>C18/C13</f>
        <v>350704.21052631579</v>
      </c>
      <c r="D19" s="567"/>
      <c r="E19" s="567"/>
      <c r="F19" s="576" t="s">
        <v>2660</v>
      </c>
      <c r="G19" s="567"/>
      <c r="H19" s="4745">
        <f>H18/C13</f>
        <v>268102.21052631579</v>
      </c>
      <c r="I19" s="4745"/>
      <c r="J19" s="567"/>
      <c r="K19" s="567"/>
      <c r="L19" s="567"/>
      <c r="M19" s="507"/>
    </row>
    <row r="20" spans="1:13" ht="15.75">
      <c r="A20" s="576" t="s">
        <v>2661</v>
      </c>
      <c r="B20" s="567"/>
      <c r="C20" s="1978">
        <f>C18/K13</f>
        <v>337.30093647177932</v>
      </c>
      <c r="D20" s="1989"/>
      <c r="E20" s="1989"/>
      <c r="F20" s="576" t="s">
        <v>2661</v>
      </c>
      <c r="G20" s="567"/>
      <c r="H20" s="4737">
        <f>H18/K13</f>
        <v>257.85583396608456</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17408794</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v>
      </c>
      <c r="D40" s="507"/>
      <c r="E40" s="507"/>
      <c r="F40" s="510"/>
      <c r="G40" s="510" t="s">
        <v>2681</v>
      </c>
      <c r="H40" s="507"/>
      <c r="I40" s="507"/>
      <c r="K40" s="555">
        <f>C30/C18</f>
        <v>0.65315177882696174</v>
      </c>
      <c r="L40" s="507"/>
      <c r="M40" s="507"/>
    </row>
    <row r="46" spans="1:13" ht="15.75">
      <c r="A46" s="550" t="s">
        <v>2682</v>
      </c>
      <c r="B46" s="540"/>
      <c r="C46" s="540"/>
      <c r="D46" s="540"/>
      <c r="E46" s="540"/>
      <c r="F46" s="540"/>
      <c r="G46" s="540"/>
      <c r="H46" s="540"/>
      <c r="I46" s="540"/>
      <c r="J46" s="540"/>
      <c r="K46" s="540"/>
      <c r="L46" s="540"/>
      <c r="M46" s="507"/>
    </row>
    <row r="47" spans="1:13" ht="15.75">
      <c r="A47" s="550" t="str">
        <f>C8</f>
        <v>Freedom's Path Augusta III</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657096</v>
      </c>
      <c r="D52" s="568"/>
      <c r="E52" s="568">
        <f>$C$52</f>
        <v>657096</v>
      </c>
      <c r="F52" s="568"/>
      <c r="G52" s="568">
        <f>$C$52</f>
        <v>657096</v>
      </c>
      <c r="H52" s="568"/>
      <c r="I52" s="568">
        <f>$C$52</f>
        <v>657096</v>
      </c>
      <c r="J52" s="568"/>
      <c r="K52" s="568">
        <f>$C$52</f>
        <v>657096</v>
      </c>
      <c r="L52" s="569"/>
      <c r="M52"/>
      <c r="N52"/>
    </row>
    <row r="53" spans="1:14" s="507" customFormat="1" ht="18.75" customHeight="1">
      <c r="B53" s="567" t="s">
        <v>2689</v>
      </c>
      <c r="C53" s="568">
        <f>'Part VI-Pro Forma'!B16</f>
        <v>13141.92</v>
      </c>
      <c r="D53" s="568"/>
      <c r="E53" s="568">
        <f>$C$53</f>
        <v>13141.92</v>
      </c>
      <c r="F53" s="568"/>
      <c r="G53" s="568">
        <f>$C$53</f>
        <v>13141.92</v>
      </c>
      <c r="H53" s="568"/>
      <c r="I53" s="568">
        <f>$C$53</f>
        <v>13141.92</v>
      </c>
      <c r="J53" s="568"/>
      <c r="K53" s="568">
        <f>$C$53</f>
        <v>13141.92</v>
      </c>
      <c r="L53" s="569"/>
      <c r="M53"/>
      <c r="N53"/>
    </row>
    <row r="54" spans="1:14" s="507" customFormat="1" ht="18.75" customHeight="1">
      <c r="B54" s="567" t="s">
        <v>2687</v>
      </c>
      <c r="C54" s="568">
        <f>'Part VI-Pro Forma'!B17</f>
        <v>-46916.654400000007</v>
      </c>
      <c r="D54" s="568"/>
      <c r="E54" s="568">
        <f>-($C$52+E53)*F50</f>
        <v>-67023.792000000001</v>
      </c>
      <c r="F54" s="570"/>
      <c r="G54" s="568">
        <f>-($C$52+G53)*0.07</f>
        <v>-46916.654400000007</v>
      </c>
      <c r="H54" s="568"/>
      <c r="I54" s="568">
        <f>-($C$52+I53)*0.07</f>
        <v>-46916.654400000007</v>
      </c>
      <c r="J54" s="568"/>
      <c r="K54" s="568">
        <f>-($C$52+K53)*L54</f>
        <v>-67023.792000000001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623321.26560000004</v>
      </c>
      <c r="D56" s="568"/>
      <c r="E56" s="574">
        <f>SUM(E52:E55)</f>
        <v>603214.12800000003</v>
      </c>
      <c r="F56" s="568"/>
      <c r="G56" s="574">
        <f>SUM(G52:G55)</f>
        <v>623321.26560000004</v>
      </c>
      <c r="H56" s="568"/>
      <c r="I56" s="574">
        <f>SUM(I52:I55)</f>
        <v>623321.26560000004</v>
      </c>
      <c r="J56" s="568"/>
      <c r="K56" s="574">
        <f>SUM(K52:K55)</f>
        <v>603214.12800000003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9000</v>
      </c>
      <c r="D58" s="568"/>
      <c r="E58" s="568">
        <f>$C$58</f>
        <v>9000</v>
      </c>
      <c r="F58" s="568"/>
      <c r="G58" s="568">
        <f>$C$58</f>
        <v>9000</v>
      </c>
      <c r="H58" s="568"/>
      <c r="I58" s="568">
        <f>$C$58</f>
        <v>9000</v>
      </c>
      <c r="J58" s="568"/>
      <c r="K58" s="568">
        <f>$C$58</f>
        <v>9000</v>
      </c>
      <c r="L58" s="569"/>
      <c r="M58"/>
      <c r="N58"/>
    </row>
    <row r="59" spans="1:14" s="507" customFormat="1" ht="18.75" customHeight="1">
      <c r="B59" s="567" t="s">
        <v>2692</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22800</v>
      </c>
      <c r="D60" s="568"/>
      <c r="E60" s="568">
        <f>$C$60</f>
        <v>22800</v>
      </c>
      <c r="F60" s="568"/>
      <c r="G60" s="568">
        <f>$C$60</f>
        <v>22800</v>
      </c>
      <c r="H60" s="568"/>
      <c r="I60" s="568">
        <f>$C$60*(1+$J$50)</f>
        <v>23484</v>
      </c>
      <c r="J60" s="570"/>
      <c r="K60" s="568">
        <f>$C$60*(1+$J$50)</f>
        <v>23484</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36800</v>
      </c>
      <c r="D62" s="568"/>
      <c r="E62" s="574">
        <f>SUM(E58:E61)</f>
        <v>36800</v>
      </c>
      <c r="F62" s="568"/>
      <c r="G62" s="574">
        <f>SUM(G58:G61)</f>
        <v>36800</v>
      </c>
      <c r="H62" s="568"/>
      <c r="I62" s="574">
        <f>SUM(I58:I61)</f>
        <v>37484</v>
      </c>
      <c r="J62" s="568"/>
      <c r="K62" s="574">
        <f>SUM(K58:K61)</f>
        <v>37684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586521.26560000004</v>
      </c>
      <c r="D64" s="577"/>
      <c r="E64" s="577">
        <f>E56-E62</f>
        <v>566414.12800000003</v>
      </c>
      <c r="F64" s="577"/>
      <c r="G64" s="577">
        <f>G56-G62</f>
        <v>586521.26560000004</v>
      </c>
      <c r="H64" s="577"/>
      <c r="I64" s="577">
        <f>I56-I62</f>
        <v>585837.26560000004</v>
      </c>
      <c r="J64" s="577"/>
      <c r="K64" s="577">
        <f>K56-K62</f>
        <v>565530.12800000003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586521.26560000004</v>
      </c>
      <c r="D70" s="577"/>
      <c r="E70" s="580">
        <f>E64-E66-E68</f>
        <v>566414.12800000003</v>
      </c>
      <c r="F70" s="577"/>
      <c r="G70" s="580">
        <f>G64-G66-G68</f>
        <v>586521.26560000004</v>
      </c>
      <c r="H70" s="577"/>
      <c r="I70" s="580">
        <f>I64-I66-I68</f>
        <v>585837.26560000004</v>
      </c>
      <c r="J70" s="577"/>
      <c r="K70" s="580">
        <f>K64-K66-K68</f>
        <v>565530.12800000003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15.938077869565218</v>
      </c>
      <c r="D73" s="582"/>
      <c r="E73" s="1005">
        <f>E76/E62</f>
        <v>15.391688260869566</v>
      </c>
      <c r="F73" s="582"/>
      <c r="G73" s="1005">
        <f>G76/G62</f>
        <v>15.938077869565218</v>
      </c>
      <c r="H73" s="582"/>
      <c r="I73" s="1005">
        <f>I76/I62</f>
        <v>15.6289954540604</v>
      </c>
      <c r="J73" s="582"/>
      <c r="K73" s="1005">
        <f>K76/K62</f>
        <v>15.00716824116336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586521.26560000004</v>
      </c>
      <c r="D76" s="568"/>
      <c r="E76" s="568">
        <f>E70+E75</f>
        <v>566414.12800000003</v>
      </c>
      <c r="F76" s="568"/>
      <c r="G76" s="568">
        <f>G70+G75</f>
        <v>586521.26560000004</v>
      </c>
      <c r="H76" s="568"/>
      <c r="I76" s="568">
        <f>I70+I75</f>
        <v>585837.26560000004</v>
      </c>
      <c r="J76" s="568"/>
      <c r="K76" s="568">
        <f>K70+K75</f>
        <v>565530.12800000003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formula1>"First, Second, Third, Fourth"</formula1>
    </dataValidation>
    <dataValidation showDropDown="1" showInputMessage="1" showErrorMessage="1" sqref="C14 B25:B27"/>
    <dataValidation type="list" allowBlank="1" showInputMessage="1" showErrorMessage="1" sqref="C15">
      <formula1>"&lt;&lt;Select&gt;&gt;,Gas, Electric, Propane"</formula1>
    </dataValidation>
    <dataValidation type="list" showInputMessage="1" showErrorMessage="1" sqref="D25:D27">
      <formula1>"First, Second, Third"</formula1>
    </dataValidation>
    <dataValidation type="list" allowBlank="1" showInputMessage="1" showErrorMessage="1" sqref="C9:D9">
      <formula1>"&lt;&lt;Select&gt;&gt;, HOME, HOME and 9% LIHTC, HOME and 4% LIHTC, NSP and 4% LIHTC, NHTF and $% LIHTC"</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Freedom's Path Augusta III</v>
      </c>
    </row>
    <row r="13" spans="1:10" ht="15">
      <c r="A13" s="517"/>
      <c r="D13" s="516" t="s">
        <v>2604</v>
      </c>
      <c r="F13" s="1024" t="str">
        <f>'Sensitivity Analysis'!E8</f>
        <v>2023-0</v>
      </c>
    </row>
    <row r="14" spans="1:10" ht="15">
      <c r="A14" s="517"/>
      <c r="D14" s="516" t="s">
        <v>2605</v>
      </c>
      <c r="F14" s="1024" t="str">
        <f>'Sensitivity Analysis'!H8</f>
        <v>Augusta, Richmond</v>
      </c>
    </row>
    <row r="15" spans="1:10" ht="15">
      <c r="A15" s="517"/>
      <c r="D15" s="516" t="s">
        <v>2946</v>
      </c>
      <c r="F15" s="4757">
        <f>'Sensitivity Analysis'!$C$25</f>
        <v>0</v>
      </c>
      <c r="G15" s="4757"/>
      <c r="H15" s="4757"/>
    </row>
    <row r="16" spans="1:10" ht="15">
      <c r="A16" s="517"/>
      <c r="D16" s="519" t="s">
        <v>2606</v>
      </c>
      <c r="F16" s="520">
        <f>'Sensitivity Analysis'!C13</f>
        <v>76</v>
      </c>
      <c r="G16" s="521" t="s">
        <v>2947</v>
      </c>
      <c r="H16" s="972">
        <f>'Sensitivity Analysis'!E13</f>
        <v>56</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6153</v>
      </c>
    </row>
    <row r="22" spans="1:18" ht="111.75" customHeight="1">
      <c r="A22" s="4749" t="s">
        <v>3098</v>
      </c>
      <c r="B22" s="4749"/>
      <c r="C22" s="4749"/>
      <c r="D22" s="4749"/>
      <c r="E22" s="4749"/>
      <c r="F22" s="4749"/>
      <c r="G22" s="4749"/>
      <c r="H22" s="4749"/>
      <c r="I22" s="4749"/>
      <c r="J22" s="4749"/>
      <c r="K22" s="4748" t="s">
        <v>3896</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6152</v>
      </c>
    </row>
    <row r="27" spans="1:18" ht="14.25" customHeight="1">
      <c r="A27" s="4751" t="s">
        <v>6154</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6155</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2607</v>
      </c>
    </row>
    <row r="47" spans="1:10" ht="135" customHeight="1">
      <c r="A47" s="4735" t="s">
        <v>6156</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2608</v>
      </c>
    </row>
    <row r="50" spans="1:12" ht="33" customHeight="1">
      <c r="A50" s="4731" t="s">
        <v>3451</v>
      </c>
      <c r="B50" s="4733"/>
      <c r="C50" s="4733"/>
      <c r="D50" s="4733"/>
      <c r="E50" s="4733"/>
      <c r="F50" s="4733"/>
      <c r="G50" s="4733"/>
      <c r="H50" s="4733"/>
      <c r="I50" s="4733"/>
      <c r="J50" s="4731"/>
    </row>
    <row r="51" spans="1:12" ht="3" customHeight="1"/>
    <row r="52" spans="1:12" ht="72.75" customHeight="1">
      <c r="A52" s="4731" t="s">
        <v>3452</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3453</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3454</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3455</v>
      </c>
      <c r="B60" s="4731"/>
      <c r="C60" s="4731"/>
      <c r="D60" s="4731"/>
      <c r="E60" s="4731"/>
      <c r="F60" s="4731"/>
      <c r="G60" s="4731"/>
      <c r="H60" s="4731"/>
      <c r="I60" s="4731"/>
      <c r="J60" s="4731"/>
    </row>
    <row r="61" spans="1:12" ht="3" customHeight="1"/>
    <row r="62" spans="1:12" ht="73.5" customHeight="1">
      <c r="A62" s="4731" t="s">
        <v>3456</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49" t="s">
        <v>2610</v>
      </c>
      <c r="B65" s="4749"/>
      <c r="C65" s="4749"/>
      <c r="D65" s="4749"/>
      <c r="E65" s="4749"/>
      <c r="F65" s="4749"/>
      <c r="G65" s="4749"/>
      <c r="H65" s="4749"/>
      <c r="I65" s="4749"/>
      <c r="J65" s="4749"/>
      <c r="L65" s="524">
        <f>'Closing term sheet'!C135</f>
        <v>492344.5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1" t="e">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#NAME?</v>
      </c>
      <c r="B67" s="4731"/>
      <c r="C67" s="4731"/>
      <c r="D67" s="4731"/>
      <c r="E67" s="4731"/>
      <c r="F67" s="4731"/>
      <c r="G67" s="4731"/>
      <c r="H67" s="4731"/>
      <c r="I67" s="4731"/>
      <c r="J67" s="529"/>
      <c r="L67" s="530">
        <f>'Part II-Sources of Funds'!I51</f>
        <v>10548794</v>
      </c>
      <c r="M67" s="531">
        <f>'Part III-A-Uses of Funds'!$J$191</f>
        <v>1225000</v>
      </c>
      <c r="N67" s="532">
        <f>'Part III-A-Uses of Funds'!N182</f>
        <v>0.87</v>
      </c>
      <c r="O67" s="530">
        <f>'Part II-Sources of Funds'!I52</f>
        <v>6860000</v>
      </c>
      <c r="P67" s="531">
        <f>M67</f>
        <v>1225000</v>
      </c>
      <c r="Q67" s="532">
        <f>'Part III-A-Uses of Funds'!Q182</f>
        <v>0.56000000000000005</v>
      </c>
    </row>
    <row r="68" spans="1:17" ht="39.75" customHeight="1">
      <c r="A68" s="4735" t="e">
        <f ca="1">_xlfn.CONCAT("The total equity price per credit will be ",SUM(N67,Q67)," (",N67," Federal tax credit and ",Q67," State tax credit) for a (X%) ownership interest of the Federal Credits and a (X%) ownership interest of the State Credits. ")</f>
        <v>#NAME?</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6157</v>
      </c>
      <c r="B70" s="4731"/>
      <c r="C70" s="4731"/>
      <c r="D70" s="4731"/>
      <c r="E70" s="4731"/>
      <c r="F70" s="4731"/>
      <c r="G70" s="4731"/>
      <c r="H70" s="4731"/>
      <c r="I70" s="4731"/>
      <c r="J70" s="4731"/>
      <c r="L70" s="534" t="str">
        <f>'Part VI-Pro Forma'!K72</f>
        <v/>
      </c>
      <c r="M70" s="4756" t="s">
        <v>3097</v>
      </c>
      <c r="N70" s="4748"/>
    </row>
    <row r="71" spans="1:17" ht="6" customHeight="1">
      <c r="A71" s="522"/>
    </row>
    <row r="72" spans="1:17" ht="15">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5">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5">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3658</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6158</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5">
      <c r="A99" s="522" t="s">
        <v>2632</v>
      </c>
    </row>
    <row r="100" spans="1:14" ht="110.65" customHeight="1">
      <c r="A100" s="4749" t="s">
        <v>2633</v>
      </c>
      <c r="B100" s="4749"/>
      <c r="C100" s="4749"/>
      <c r="D100" s="4749"/>
      <c r="E100" s="4749"/>
      <c r="F100" s="4749"/>
      <c r="G100" s="4749"/>
      <c r="H100" s="4749"/>
      <c r="I100" s="4749"/>
      <c r="J100" s="4749"/>
      <c r="L100" s="975" t="str">
        <f>'Part VI-Pro Forma'!K72</f>
        <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5">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8" t="s">
        <v>6063</v>
      </c>
      <c r="B120" s="4758"/>
      <c r="C120" s="4758"/>
      <c r="D120" s="4758"/>
      <c r="E120" s="4759"/>
      <c r="F120" s="1488" t="s">
        <v>6064</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Freedom's Path Augusta III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2647</v>
      </c>
      <c r="B8" s="510"/>
      <c r="C8" s="4763" t="str">
        <f>'Part I-Project Identification'!F25</f>
        <v>Freedom's Path Augusta III</v>
      </c>
      <c r="D8" s="4763"/>
      <c r="E8" s="1020" t="str">
        <f>'Part I-Project Identification'!O7</f>
        <v>2023-0</v>
      </c>
      <c r="F8" s="510" t="s">
        <v>2648</v>
      </c>
      <c r="G8" s="507"/>
      <c r="H8" s="4763" t="str">
        <f>CONCATENATE('Part I-Project Identification'!F26,", ",'Part I-Project Identification'!J26)</f>
        <v>Augusta, Richmond</v>
      </c>
      <c r="I8" s="4763"/>
      <c r="J8" s="4763"/>
      <c r="K8" s="4763"/>
      <c r="L8" s="507"/>
      <c r="M8" s="545"/>
    </row>
    <row r="9" spans="1:14" ht="15.7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75">
      <c r="A10" s="510" t="s">
        <v>2653</v>
      </c>
      <c r="B10" s="507"/>
      <c r="C10" s="1020">
        <f>'Part II-Development Team'!H15</f>
        <v>0</v>
      </c>
      <c r="D10" s="507"/>
      <c r="E10" s="507"/>
      <c r="F10" s="510" t="s">
        <v>3131</v>
      </c>
      <c r="G10" s="507"/>
      <c r="H10" s="4763">
        <f>'Part II-Development Team'!H34</f>
        <v>0</v>
      </c>
      <c r="I10" s="4763"/>
      <c r="J10" s="4763"/>
      <c r="K10" s="4763">
        <f>'Part II-Development Team'!H40</f>
        <v>0</v>
      </c>
      <c r="L10" s="476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75">
      <c r="A13" s="510" t="s">
        <v>2657</v>
      </c>
      <c r="B13" s="510"/>
      <c r="C13" s="506">
        <f>'Part V-Revenues &amp; Expenses'!$P$67</f>
        <v>76</v>
      </c>
      <c r="E13" s="970">
        <f>'Part V-Revenues &amp; Expenses'!$P$63</f>
        <v>56</v>
      </c>
      <c r="F13" s="510" t="s">
        <v>3450</v>
      </c>
      <c r="G13" s="507"/>
      <c r="H13" s="1021" t="e">
        <f>'Part I-Project Identification'!#REF!</f>
        <v>#REF!</v>
      </c>
      <c r="I13" s="971"/>
      <c r="J13" s="971"/>
      <c r="K13" s="1021">
        <f>'Part V-Revenues &amp; Expenses'!K175</f>
        <v>79020</v>
      </c>
      <c r="L13" s="507"/>
      <c r="M13" s="507"/>
    </row>
    <row r="14" spans="1:14" ht="15.75">
      <c r="A14" s="510" t="s">
        <v>2949</v>
      </c>
      <c r="B14" s="507"/>
      <c r="C14" s="1021" t="e">
        <f>'Part I-Project Identification'!#REF!</f>
        <v>#REF!</v>
      </c>
      <c r="D14" s="4763" t="e">
        <f>IF('Part V-Revenues &amp; Expenses'!#REF!=0,"",'Part V-Revenues &amp; Expenses'!#REF!)</f>
        <v>#REF!</v>
      </c>
      <c r="E14" s="4763"/>
      <c r="F14" s="510" t="s">
        <v>2658</v>
      </c>
      <c r="G14" s="507"/>
      <c r="H14" s="4743" t="s">
        <v>3099</v>
      </c>
      <c r="I14" s="4743"/>
      <c r="J14" s="4743"/>
      <c r="K14" s="4743" t="s">
        <v>3099</v>
      </c>
      <c r="L14" s="4743"/>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26653520</v>
      </c>
      <c r="D18" s="1003">
        <f>IF(C18=0,"",$C$29/C18)</f>
        <v>0</v>
      </c>
      <c r="E18" s="507" t="s">
        <v>2953</v>
      </c>
      <c r="F18" s="510" t="s">
        <v>2954</v>
      </c>
      <c r="G18" s="507"/>
      <c r="H18" s="4764">
        <f>'Part III-A-Uses of Funds'!C49</f>
        <v>20375768</v>
      </c>
      <c r="I18" s="4764"/>
      <c r="J18" s="1002">
        <f>IF(H18=0,"",$C$29/H18)</f>
        <v>0</v>
      </c>
      <c r="K18" s="4763" t="s">
        <v>2955</v>
      </c>
      <c r="L18" s="4763"/>
      <c r="M18" s="507"/>
    </row>
    <row r="19" spans="1:13" ht="15.75">
      <c r="A19" s="510" t="s">
        <v>2660</v>
      </c>
      <c r="B19" s="507"/>
      <c r="C19" s="1022">
        <f>C18/C13</f>
        <v>350704.21052631579</v>
      </c>
      <c r="D19" s="507"/>
      <c r="E19" s="507"/>
      <c r="F19" s="510" t="s">
        <v>2660</v>
      </c>
      <c r="G19" s="507"/>
      <c r="H19" s="4765">
        <f>H18/C13</f>
        <v>268102.21052631579</v>
      </c>
      <c r="I19" s="4765"/>
      <c r="J19" s="507"/>
      <c r="K19" s="507"/>
      <c r="L19" s="507"/>
      <c r="M19" s="507"/>
    </row>
    <row r="20" spans="1:13" ht="15.75">
      <c r="A20" s="510" t="s">
        <v>2661</v>
      </c>
      <c r="B20" s="507"/>
      <c r="C20" s="1020">
        <f>C18/K13</f>
        <v>337.30093647177932</v>
      </c>
      <c r="D20" s="548"/>
      <c r="E20" s="548"/>
      <c r="F20" s="510" t="s">
        <v>2661</v>
      </c>
      <c r="G20" s="507"/>
      <c r="H20" s="4763">
        <f>H18/K13</f>
        <v>257.85583396608456</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17408794</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v>
      </c>
      <c r="D40" s="507"/>
      <c r="E40" s="507"/>
      <c r="F40" s="510"/>
      <c r="G40" s="510" t="s">
        <v>2681</v>
      </c>
      <c r="H40" s="507"/>
      <c r="I40" s="507"/>
      <c r="K40" s="555">
        <f>C30/C18</f>
        <v>0.65315177882696174</v>
      </c>
      <c r="L40" s="507"/>
      <c r="M40" s="507"/>
    </row>
    <row r="46" spans="1:13" ht="15.75">
      <c r="A46" s="550" t="s">
        <v>2682</v>
      </c>
      <c r="B46" s="540"/>
      <c r="C46" s="540"/>
      <c r="D46" s="540"/>
      <c r="E46" s="540"/>
      <c r="F46" s="540"/>
      <c r="G46" s="540"/>
      <c r="H46" s="540"/>
      <c r="I46" s="540"/>
      <c r="J46" s="540"/>
      <c r="K46" s="540"/>
      <c r="L46" s="540"/>
      <c r="M46" s="507"/>
    </row>
    <row r="47" spans="1:13" ht="15.75">
      <c r="A47" s="550" t="str">
        <f>C8</f>
        <v>Freedom's Path Augusta III</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657096</v>
      </c>
      <c r="D52" s="568"/>
      <c r="E52" s="568">
        <f>$C$52</f>
        <v>657096</v>
      </c>
      <c r="F52" s="568"/>
      <c r="G52" s="568">
        <f>$C$52</f>
        <v>657096</v>
      </c>
      <c r="H52" s="568"/>
      <c r="I52" s="568">
        <f>$C$52</f>
        <v>657096</v>
      </c>
      <c r="J52" s="568"/>
      <c r="K52" s="568">
        <f>$C$52</f>
        <v>657096</v>
      </c>
      <c r="L52" s="569"/>
      <c r="M52"/>
      <c r="N52"/>
    </row>
    <row r="53" spans="1:14" s="507" customFormat="1" ht="18.75" customHeight="1">
      <c r="B53" s="567" t="s">
        <v>2689</v>
      </c>
      <c r="C53" s="568">
        <f>'Part VI-Pro Forma'!B16</f>
        <v>13141.92</v>
      </c>
      <c r="D53" s="568"/>
      <c r="E53" s="568">
        <f>$C$53</f>
        <v>13141.92</v>
      </c>
      <c r="F53" s="568"/>
      <c r="G53" s="568">
        <f>$C$53</f>
        <v>13141.92</v>
      </c>
      <c r="H53" s="568"/>
      <c r="I53" s="568">
        <f>$C$53</f>
        <v>13141.92</v>
      </c>
      <c r="J53" s="568"/>
      <c r="K53" s="568">
        <f>$C$53</f>
        <v>13141.92</v>
      </c>
      <c r="L53" s="569"/>
      <c r="M53"/>
      <c r="N53"/>
    </row>
    <row r="54" spans="1:14" s="507" customFormat="1" ht="18.75" customHeight="1">
      <c r="B54" s="567" t="s">
        <v>2687</v>
      </c>
      <c r="C54" s="568">
        <f>'Part VI-Pro Forma'!B17</f>
        <v>-46916.654400000007</v>
      </c>
      <c r="D54" s="568"/>
      <c r="E54" s="568">
        <f>-($C$52+E53)*F50</f>
        <v>-67023.792000000001</v>
      </c>
      <c r="F54" s="570"/>
      <c r="G54" s="568">
        <f>-($C$52+G53)*0.07</f>
        <v>-46916.654400000007</v>
      </c>
      <c r="H54" s="568"/>
      <c r="I54" s="568">
        <f>-($C$52+I53)*0.07</f>
        <v>-46916.654400000007</v>
      </c>
      <c r="J54" s="568"/>
      <c r="K54" s="568">
        <f>-($C$52+K53)*L54</f>
        <v>-67023.792000000001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623321.26560000004</v>
      </c>
      <c r="D56" s="568"/>
      <c r="E56" s="574">
        <f>SUM(E52:E55)</f>
        <v>603214.12800000003</v>
      </c>
      <c r="F56" s="568"/>
      <c r="G56" s="574">
        <f>SUM(G52:G55)</f>
        <v>623321.26560000004</v>
      </c>
      <c r="H56" s="568"/>
      <c r="I56" s="574">
        <f>SUM(I52:I55)</f>
        <v>623321.26560000004</v>
      </c>
      <c r="J56" s="568"/>
      <c r="K56" s="574">
        <f>SUM(K52:K55)</f>
        <v>603214.12800000003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155400</v>
      </c>
      <c r="D58" s="568"/>
      <c r="E58" s="568">
        <f>$C$58</f>
        <v>155400</v>
      </c>
      <c r="F58" s="568"/>
      <c r="G58" s="568">
        <f>$C$58</f>
        <v>155400</v>
      </c>
      <c r="H58" s="568"/>
      <c r="I58" s="568">
        <f>$C$58</f>
        <v>155400</v>
      </c>
      <c r="J58" s="568"/>
      <c r="K58" s="568">
        <f>$C$58</f>
        <v>155400</v>
      </c>
      <c r="L58" s="569"/>
      <c r="M58"/>
      <c r="N58"/>
    </row>
    <row r="59" spans="1:14" s="507" customFormat="1" ht="18.75" customHeight="1">
      <c r="B59" s="567" t="s">
        <v>2692</v>
      </c>
      <c r="C59" s="568">
        <f>+'Part V-Revenues &amp; Expenses'!F247</f>
        <v>56600</v>
      </c>
      <c r="D59" s="568"/>
      <c r="E59" s="568">
        <f>$C$59</f>
        <v>56600</v>
      </c>
      <c r="F59" s="568"/>
      <c r="G59" s="568">
        <f>$C$59</f>
        <v>56600</v>
      </c>
      <c r="H59" s="568"/>
      <c r="I59" s="568">
        <f>$C$59</f>
        <v>56600</v>
      </c>
      <c r="J59" s="568"/>
      <c r="K59" s="568">
        <f>$C$59*(1+$L$59)</f>
        <v>58864</v>
      </c>
      <c r="L59" s="575">
        <v>0.04</v>
      </c>
      <c r="M59"/>
      <c r="N59"/>
    </row>
    <row r="60" spans="1:14" s="507" customFormat="1" ht="18.75" customHeight="1">
      <c r="B60" s="567" t="s">
        <v>1297</v>
      </c>
      <c r="C60" s="568">
        <f>+'Part V-Revenues &amp; Expenses'!L241</f>
        <v>100200</v>
      </c>
      <c r="D60" s="568"/>
      <c r="E60" s="568">
        <f>$C$60</f>
        <v>100200</v>
      </c>
      <c r="F60" s="568"/>
      <c r="G60" s="568">
        <f>$C$60</f>
        <v>100200</v>
      </c>
      <c r="H60" s="568"/>
      <c r="I60" s="568">
        <f>$C$60*(1+$J$50)</f>
        <v>103206</v>
      </c>
      <c r="J60" s="570"/>
      <c r="K60" s="568">
        <f>$C$60*(1+$J$50)</f>
        <v>103206</v>
      </c>
      <c r="L60" s="571">
        <v>0.03</v>
      </c>
      <c r="M60"/>
      <c r="N60"/>
    </row>
    <row r="61" spans="1:14" s="507" customFormat="1" ht="18.75" customHeight="1">
      <c r="B61" s="567" t="s">
        <v>1298</v>
      </c>
      <c r="C61" s="568">
        <f>+'Part V-Revenues &amp; Expenses'!L247</f>
        <v>75000</v>
      </c>
      <c r="D61" s="568"/>
      <c r="E61" s="568">
        <f>$C$61</f>
        <v>75000</v>
      </c>
      <c r="F61" s="568"/>
      <c r="G61" s="568">
        <f>$C$61*(1+H50)</f>
        <v>78750</v>
      </c>
      <c r="H61" s="570"/>
      <c r="I61" s="568">
        <f>$C$61</f>
        <v>75000</v>
      </c>
      <c r="J61" s="568"/>
      <c r="K61" s="568">
        <f>$C$61*(1+$L$61)</f>
        <v>78750</v>
      </c>
      <c r="L61" s="571">
        <v>0.05</v>
      </c>
      <c r="M61"/>
      <c r="N61"/>
    </row>
    <row r="62" spans="1:14" s="507" customFormat="1" ht="18.75" customHeight="1">
      <c r="B62" s="573" t="s">
        <v>2693</v>
      </c>
      <c r="C62" s="574">
        <f>SUM(C58:C61)</f>
        <v>387200</v>
      </c>
      <c r="D62" s="568"/>
      <c r="E62" s="574">
        <f>SUM(E58:E61)</f>
        <v>387200</v>
      </c>
      <c r="F62" s="568"/>
      <c r="G62" s="574">
        <f>SUM(G58:G61)</f>
        <v>390950</v>
      </c>
      <c r="H62" s="568"/>
      <c r="I62" s="574">
        <f>SUM(I58:I61)</f>
        <v>390206</v>
      </c>
      <c r="J62" s="568"/>
      <c r="K62" s="574">
        <f>SUM(K58:K61)</f>
        <v>396220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236121.26560000004</v>
      </c>
      <c r="D64" s="577"/>
      <c r="E64" s="577">
        <f>E56-E62</f>
        <v>216014.12800000003</v>
      </c>
      <c r="F64" s="577"/>
      <c r="G64" s="577">
        <f>G56-G62</f>
        <v>232371.26560000004</v>
      </c>
      <c r="H64" s="577"/>
      <c r="I64" s="577">
        <f>I56-I62</f>
        <v>233115.26560000004</v>
      </c>
      <c r="J64" s="577"/>
      <c r="K64" s="577">
        <f>K56-K62</f>
        <v>206994.12800000003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31920</v>
      </c>
      <c r="D66" s="568"/>
      <c r="E66" s="568">
        <f>$C$66</f>
        <v>31920</v>
      </c>
      <c r="F66" s="568"/>
      <c r="G66" s="568">
        <f>$C$66</f>
        <v>31920</v>
      </c>
      <c r="H66" s="568"/>
      <c r="I66" s="568">
        <f>$C$66</f>
        <v>31920</v>
      </c>
      <c r="J66" s="568"/>
      <c r="K66" s="568">
        <f>$C$66</f>
        <v>31920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31166</v>
      </c>
      <c r="D68" s="568"/>
      <c r="E68" s="568">
        <f>$C$68</f>
        <v>31166</v>
      </c>
      <c r="F68" s="568"/>
      <c r="G68" s="568">
        <f>$C$68</f>
        <v>31166</v>
      </c>
      <c r="H68" s="568"/>
      <c r="I68" s="568">
        <f>$C$68</f>
        <v>31166</v>
      </c>
      <c r="J68" s="568"/>
      <c r="K68" s="568">
        <f>$C$68</f>
        <v>31166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173035.26560000004</v>
      </c>
      <c r="D70" s="577"/>
      <c r="E70" s="580">
        <f>E64-E66-E68</f>
        <v>152928.12800000003</v>
      </c>
      <c r="F70" s="577"/>
      <c r="G70" s="580">
        <f>G64-G66-G68</f>
        <v>169285.26560000004</v>
      </c>
      <c r="H70" s="577"/>
      <c r="I70" s="580">
        <f>I64-I66-I68</f>
        <v>170029.26560000004</v>
      </c>
      <c r="J70" s="577"/>
      <c r="K70" s="580">
        <f>K64-K66-K68</f>
        <v>143908.12800000003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0.44688859917355384</v>
      </c>
      <c r="D73" s="582"/>
      <c r="E73" s="1005">
        <f>E76/E62</f>
        <v>0.3949590082644629</v>
      </c>
      <c r="F73" s="582"/>
      <c r="G73" s="1005">
        <f>G76/G62</f>
        <v>0.43301001560301838</v>
      </c>
      <c r="H73" s="582"/>
      <c r="I73" s="1005">
        <f>I76/I62</f>
        <v>0.43574231457230295</v>
      </c>
      <c r="J73" s="582"/>
      <c r="K73" s="1005">
        <f>K76/K62</f>
        <v>0.36320258442279546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173035.26560000004</v>
      </c>
      <c r="D76" s="568"/>
      <c r="E76" s="568">
        <f>E70+E75</f>
        <v>152928.12800000003</v>
      </c>
      <c r="F76" s="568"/>
      <c r="G76" s="568">
        <f>G70+G75</f>
        <v>169285.26560000004</v>
      </c>
      <c r="H76" s="568"/>
      <c r="I76" s="568">
        <f>I70+I75</f>
        <v>170029.26560000004</v>
      </c>
      <c r="J76" s="568"/>
      <c r="K76" s="568">
        <f>K70+K75</f>
        <v>143908.12800000003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3414</v>
      </c>
    </row>
    <row r="3" spans="1:7" ht="3" customHeight="1"/>
    <row r="4" spans="1:7">
      <c r="A4" s="953" t="s">
        <v>3415</v>
      </c>
      <c r="B4" s="954">
        <f>+'Part III-A-Uses of Funds'!$G$146</f>
        <v>26653520</v>
      </c>
    </row>
    <row r="5" spans="1:7">
      <c r="A5" s="953" t="s">
        <v>3446</v>
      </c>
      <c r="B5" s="954">
        <f>+B18+B26+B38</f>
        <v>8315415</v>
      </c>
    </row>
    <row r="6" spans="1:7">
      <c r="A6" s="953" t="s">
        <v>3416</v>
      </c>
      <c r="B6" s="955">
        <f>+B5-B4</f>
        <v>-18338105</v>
      </c>
    </row>
    <row r="7" spans="1:7">
      <c r="A7" s="953" t="s">
        <v>3417</v>
      </c>
      <c r="B7" s="956">
        <f>+B6/B4</f>
        <v>-0.68801813043830606</v>
      </c>
    </row>
    <row r="8" spans="1:7" ht="9" customHeight="1"/>
    <row r="9" spans="1:7">
      <c r="A9" s="953" t="s">
        <v>3418</v>
      </c>
      <c r="B9" s="954">
        <f>+B18+B26+B33</f>
        <v>0</v>
      </c>
    </row>
    <row r="10" spans="1:7">
      <c r="A10" s="953" t="s">
        <v>3416</v>
      </c>
      <c r="B10" s="955">
        <f>+B9-B4</f>
        <v>-26653520</v>
      </c>
    </row>
    <row r="11" spans="1:7">
      <c r="A11" s="953" t="s">
        <v>3417</v>
      </c>
      <c r="B11" s="956">
        <f>+B10/B4</f>
        <v>-1</v>
      </c>
    </row>
    <row r="12" spans="1:7" ht="24" customHeight="1"/>
    <row r="13" spans="1:7">
      <c r="A13" s="952" t="s">
        <v>3419</v>
      </c>
      <c r="D13" s="1010" t="s">
        <v>3663</v>
      </c>
      <c r="E13" s="1011"/>
    </row>
    <row r="14" spans="1:7">
      <c r="A14" s="953" t="s">
        <v>3420</v>
      </c>
      <c r="B14" s="957">
        <f>+SUM('Part II-Sources of Funds'!L51:M52)</f>
        <v>17517500</v>
      </c>
      <c r="D14" s="1011"/>
      <c r="E14" s="1011"/>
    </row>
    <row r="15" spans="1:7">
      <c r="A15" s="953" t="s">
        <v>3421</v>
      </c>
      <c r="B15" s="958">
        <f>+'Part III-A-Uses of Funds'!J180</f>
        <v>1833810.5</v>
      </c>
      <c r="D15" s="1011" t="s">
        <v>1895</v>
      </c>
      <c r="G15" s="1012">
        <f>'Part III-A-Uses of Funds'!J168</f>
        <v>0</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0</v>
      </c>
    </row>
    <row r="20" spans="1:7">
      <c r="A20" s="953" t="s">
        <v>3424</v>
      </c>
      <c r="B20" s="957">
        <f>+B18-B14</f>
        <v>-17517500</v>
      </c>
      <c r="D20" s="1011" t="s">
        <v>3668</v>
      </c>
      <c r="G20" s="1014">
        <f>+B14-G19</f>
        <v>17517500</v>
      </c>
    </row>
    <row r="21" spans="1:7">
      <c r="A21" s="953" t="s">
        <v>3425</v>
      </c>
      <c r="B21" s="956">
        <f>+B20/B14</f>
        <v>-1</v>
      </c>
      <c r="D21" s="1011" t="s">
        <v>3669</v>
      </c>
      <c r="G21" s="1011" t="str">
        <f>+IF(G20&gt;(B28+B35),"No","Yes")</f>
        <v>No</v>
      </c>
    </row>
    <row r="22" spans="1:7" ht="24" customHeight="1"/>
    <row r="23" spans="1:7">
      <c r="A23" s="952" t="s">
        <v>3426</v>
      </c>
    </row>
    <row r="24" spans="1:7">
      <c r="A24" s="953" t="s">
        <v>3427</v>
      </c>
      <c r="B24" s="960">
        <f>+SUM('Part II-Sources of Funds'!I40:J43)</f>
        <v>0</v>
      </c>
    </row>
    <row r="25" spans="1:7">
      <c r="A25" s="953" t="s">
        <v>3428</v>
      </c>
      <c r="B25" s="961">
        <f>IF('Part II-Sources of Funds'!E6="Yes","N/A",MAX(B46:P46))</f>
        <v>-134020.06298025057</v>
      </c>
    </row>
    <row r="26" spans="1:7">
      <c r="A26" s="953" t="s">
        <v>3429</v>
      </c>
      <c r="B26" s="951">
        <f>IFERROR(PV('Part II-Sources of Funds'!K40,'Part II-Sources of Funds'!L40,B25+B45),B24)</f>
        <v>0</v>
      </c>
    </row>
    <row r="27" spans="1:7" ht="9" customHeight="1">
      <c r="B27" s="951"/>
    </row>
    <row r="28" spans="1:7">
      <c r="A28" s="953" t="s">
        <v>3430</v>
      </c>
      <c r="B28" s="962">
        <f>+B26-B24</f>
        <v>0</v>
      </c>
      <c r="C28" s="963"/>
    </row>
    <row r="29" spans="1:7">
      <c r="A29" s="953" t="s">
        <v>3425</v>
      </c>
      <c r="B29" s="964" t="e">
        <f>+B28/B24</f>
        <v>#DIV/0!</v>
      </c>
    </row>
    <row r="30" spans="1:7" ht="24" customHeight="1"/>
    <row r="31" spans="1:7">
      <c r="A31" s="952" t="s">
        <v>3360</v>
      </c>
    </row>
    <row r="32" spans="1:7">
      <c r="A32" s="953" t="s">
        <v>3431</v>
      </c>
      <c r="B32" s="965">
        <f>+'Part II-Sources of Funds'!I45</f>
        <v>929311</v>
      </c>
    </row>
    <row r="33" spans="1:11">
      <c r="A33" s="953" t="s">
        <v>3432</v>
      </c>
      <c r="B33" s="951"/>
    </row>
    <row r="34" spans="1:11" ht="9" customHeight="1">
      <c r="B34" s="951"/>
    </row>
    <row r="35" spans="1:11">
      <c r="A35" s="953" t="s">
        <v>3433</v>
      </c>
      <c r="B35" s="965">
        <f>+B33-B32</f>
        <v>-929311</v>
      </c>
    </row>
    <row r="36" spans="1:11">
      <c r="A36" s="953" t="s">
        <v>3434</v>
      </c>
      <c r="B36" s="950">
        <f>+B35/B32</f>
        <v>-1</v>
      </c>
    </row>
    <row r="37" spans="1:11" ht="24" customHeight="1">
      <c r="B37" s="951"/>
    </row>
    <row r="38" spans="1:11">
      <c r="A38" s="952" t="s">
        <v>3435</v>
      </c>
      <c r="B38" s="951">
        <f>+SUM('Part II-Sources of Funds'!I44,'Part II-Sources of Funds'!I49,'Part II-Sources of Funds'!I50,'Part II-Sources of Funds'!I53:I59)</f>
        <v>8315415</v>
      </c>
    </row>
    <row r="39" spans="1:11">
      <c r="B39" s="951"/>
    </row>
    <row r="40" spans="1:11">
      <c r="B40" s="951"/>
    </row>
    <row r="41" spans="1:11">
      <c r="B41" s="951"/>
    </row>
    <row r="42" spans="1:11">
      <c r="A42" s="952" t="s">
        <v>3436</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173035.26560000004</v>
      </c>
      <c r="C44" s="954">
        <f>+'Part VI-Pro Forma'!C25</f>
        <v>172305.09091200013</v>
      </c>
      <c r="D44" s="954">
        <f>+'Part VI-Pro Forma'!D25</f>
        <v>171434.03673024004</v>
      </c>
      <c r="E44" s="954">
        <f>+'Part VI-Pro Forma'!E25</f>
        <v>170415.77338484486</v>
      </c>
      <c r="F44" s="954">
        <f>+'Part VI-Pro Forma'!F25</f>
        <v>169244.7314501417</v>
      </c>
      <c r="G44" s="954">
        <f>+'Part VI-Pro Forma'!G25</f>
        <v>167912.09355467255</v>
      </c>
      <c r="H44" s="954">
        <f>+'Part VI-Pro Forma'!H25</f>
        <v>166411.78592555982</v>
      </c>
      <c r="I44" s="954">
        <f>+'Part VI-Pro Forma'!I25</f>
        <v>164735.46965885852</v>
      </c>
      <c r="J44" s="954">
        <f>+'Part VI-Pro Forma'!J25</f>
        <v>162875.53170726728</v>
      </c>
      <c r="K44" s="954">
        <f>+'Part VI-Pro Forma'!K25</f>
        <v>160824.07557630067</v>
      </c>
    </row>
    <row r="45" spans="1:11">
      <c r="A45" s="953" t="s">
        <v>3437</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3438</v>
      </c>
      <c r="B46" s="955">
        <f t="shared" ref="B46:K46" si="0">-B44/B48-B45</f>
        <v>-144196.05466666672</v>
      </c>
      <c r="C46" s="955">
        <f t="shared" si="0"/>
        <v>-143587.57576000012</v>
      </c>
      <c r="D46" s="955">
        <f t="shared" si="0"/>
        <v>-142861.69727520004</v>
      </c>
      <c r="E46" s="955">
        <f t="shared" si="0"/>
        <v>-142013.14448737071</v>
      </c>
      <c r="F46" s="955">
        <f t="shared" si="0"/>
        <v>-141037.27620845143</v>
      </c>
      <c r="G46" s="955">
        <f t="shared" si="0"/>
        <v>-139926.74462889379</v>
      </c>
      <c r="H46" s="955">
        <f t="shared" si="0"/>
        <v>-138676.48827129987</v>
      </c>
      <c r="I46" s="955">
        <f t="shared" si="0"/>
        <v>-137279.55804904876</v>
      </c>
      <c r="J46" s="955">
        <f t="shared" si="0"/>
        <v>-135729.60975605607</v>
      </c>
      <c r="K46" s="955">
        <f t="shared" si="0"/>
        <v>-134020.06298025057</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173035.26560000004</v>
      </c>
      <c r="C51" s="955">
        <f t="shared" ref="C51:K51" si="2">+C44</f>
        <v>172305.09091200013</v>
      </c>
      <c r="D51" s="955">
        <f t="shared" si="2"/>
        <v>171434.03673024004</v>
      </c>
      <c r="E51" s="955">
        <f t="shared" si="2"/>
        <v>170415.77338484486</v>
      </c>
      <c r="F51" s="955">
        <f t="shared" si="2"/>
        <v>169244.7314501417</v>
      </c>
      <c r="G51" s="955">
        <f t="shared" si="2"/>
        <v>167912.09355467255</v>
      </c>
      <c r="H51" s="955">
        <f t="shared" si="2"/>
        <v>166411.78592555982</v>
      </c>
      <c r="I51" s="955">
        <f t="shared" si="2"/>
        <v>164735.46965885852</v>
      </c>
      <c r="J51" s="955">
        <f t="shared" si="2"/>
        <v>162875.53170726728</v>
      </c>
      <c r="K51" s="955">
        <f t="shared" si="2"/>
        <v>160824.07557630067</v>
      </c>
    </row>
    <row r="52" spans="1:17">
      <c r="A52" s="953" t="s">
        <v>3440</v>
      </c>
      <c r="B52" s="955">
        <f>IF($B$25="N/A",B45,B45+$B$25)</f>
        <v>-134020.06298025057</v>
      </c>
      <c r="C52" s="955">
        <f t="shared" ref="C52:K52" si="3">IF($B$25="N/A",C45,C45+$B$25)</f>
        <v>-134020.06298025057</v>
      </c>
      <c r="D52" s="955">
        <f t="shared" si="3"/>
        <v>-134020.06298025057</v>
      </c>
      <c r="E52" s="955">
        <f t="shared" si="3"/>
        <v>-134020.06298025057</v>
      </c>
      <c r="F52" s="955">
        <f t="shared" si="3"/>
        <v>-134020.06298025057</v>
      </c>
      <c r="G52" s="955">
        <f t="shared" si="3"/>
        <v>-134020.06298025057</v>
      </c>
      <c r="H52" s="955">
        <f t="shared" si="3"/>
        <v>-134020.06298025057</v>
      </c>
      <c r="I52" s="955">
        <f t="shared" si="3"/>
        <v>-134020.06298025057</v>
      </c>
      <c r="J52" s="955">
        <f t="shared" si="3"/>
        <v>-134020.06298025057</v>
      </c>
      <c r="K52" s="955">
        <f t="shared" si="3"/>
        <v>-134020.06298025057</v>
      </c>
    </row>
    <row r="53" spans="1:17">
      <c r="A53" s="953" t="s">
        <v>3441</v>
      </c>
      <c r="B53" s="954">
        <f>+'Part VI-Pro Forma'!B31</f>
        <v>-9500</v>
      </c>
      <c r="C53" s="954">
        <f>+'Part VI-Pro Forma'!C31</f>
        <v>-9785</v>
      </c>
      <c r="D53" s="954">
        <f>+'Part VI-Pro Forma'!D31</f>
        <v>-10078.550000000001</v>
      </c>
      <c r="E53" s="954">
        <f>+'Part VI-Pro Forma'!E31</f>
        <v>-10380.906500000001</v>
      </c>
      <c r="F53" s="954">
        <f>+'Part VI-Pro Forma'!F31</f>
        <v>-10692.333695000001</v>
      </c>
      <c r="G53" s="954">
        <f>+'Part VI-Pro Forma'!G31</f>
        <v>-11013.103705850002</v>
      </c>
      <c r="H53" s="954">
        <f>+'Part VI-Pro Forma'!H31</f>
        <v>-11343.496817025503</v>
      </c>
      <c r="I53" s="954">
        <f>+'Part VI-Pro Forma'!I31</f>
        <v>-11683.801721536269</v>
      </c>
      <c r="J53" s="954">
        <f>+'Part VI-Pro Forma'!J31</f>
        <v>-12034.315773182358</v>
      </c>
      <c r="K53" s="954">
        <f>+'Part VI-Pro Forma'!K31</f>
        <v>-12395.345246377829</v>
      </c>
    </row>
    <row r="54" spans="1:17">
      <c r="A54" s="953" t="s">
        <v>3442</v>
      </c>
      <c r="B54" s="955">
        <f>+SUM(B51:B53)</f>
        <v>29515.202619749471</v>
      </c>
      <c r="C54" s="955">
        <f t="shared" ref="C54:K54" si="4">+SUM(C51:C53)</f>
        <v>28500.027931749559</v>
      </c>
      <c r="D54" s="955">
        <f t="shared" si="4"/>
        <v>27335.423749989466</v>
      </c>
      <c r="E54" s="955">
        <f t="shared" si="4"/>
        <v>26014.803904594282</v>
      </c>
      <c r="F54" s="955">
        <f t="shared" si="4"/>
        <v>24532.334774891126</v>
      </c>
      <c r="G54" s="955">
        <f t="shared" si="4"/>
        <v>22878.92686857198</v>
      </c>
      <c r="H54" s="955">
        <f t="shared" si="4"/>
        <v>21048.226128283743</v>
      </c>
      <c r="I54" s="955">
        <f t="shared" si="4"/>
        <v>19031.604957071679</v>
      </c>
      <c r="J54" s="955">
        <f t="shared" si="4"/>
        <v>16821.152953834346</v>
      </c>
      <c r="K54" s="955">
        <f t="shared" si="4"/>
        <v>14408.667349672274</v>
      </c>
    </row>
    <row r="55" spans="1:17">
      <c r="A55" s="953" t="s">
        <v>3360</v>
      </c>
      <c r="B55" s="955">
        <f>-B54</f>
        <v>-29515.202619749471</v>
      </c>
      <c r="C55" s="955">
        <f t="shared" ref="C55:K55" si="5">-C54</f>
        <v>-28500.027931749559</v>
      </c>
      <c r="D55" s="955">
        <f t="shared" si="5"/>
        <v>-27335.423749989466</v>
      </c>
      <c r="E55" s="955">
        <f t="shared" si="5"/>
        <v>-26014.803904594282</v>
      </c>
      <c r="F55" s="955">
        <f t="shared" si="5"/>
        <v>-24532.334774891126</v>
      </c>
      <c r="G55" s="955">
        <f t="shared" si="5"/>
        <v>-22878.92686857198</v>
      </c>
      <c r="H55" s="955">
        <f t="shared" si="5"/>
        <v>-21048.226128283743</v>
      </c>
      <c r="I55" s="955">
        <f t="shared" si="5"/>
        <v>-19031.604957071679</v>
      </c>
      <c r="J55" s="955">
        <f t="shared" si="5"/>
        <v>-16821.152953834346</v>
      </c>
      <c r="K55" s="955">
        <f t="shared" si="5"/>
        <v>-14408.667349672274</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-134020.06298025057</v>
      </c>
      <c r="C58" s="954">
        <f>IF($B$26="","",-FV('Part II-Sources of Funds'!$K$40/12,12,C52/12,B58))</f>
        <v>-268040.12596050114</v>
      </c>
      <c r="D58" s="954">
        <f>IF($B$26="","",-FV('Part II-Sources of Funds'!$K$40/12,12,D52/12,C58))</f>
        <v>-402060.18894075172</v>
      </c>
      <c r="E58" s="954">
        <f>IF($B$26="","",-FV('Part II-Sources of Funds'!$K$40/12,12,E52/12,D58))</f>
        <v>-536080.25192100229</v>
      </c>
      <c r="F58" s="954">
        <f>IF($B$26="","",-FV('Part II-Sources of Funds'!$K$40/12,12,F52/12,E58))</f>
        <v>-670100.31490125286</v>
      </c>
      <c r="G58" s="954">
        <f>IF($B$26="","",-FV('Part II-Sources of Funds'!$K$40/12,12,G52/12,F58))</f>
        <v>-804120.37788150343</v>
      </c>
      <c r="H58" s="954">
        <f>IF($B$26="","",-FV('Part II-Sources of Funds'!$K$40/12,12,H52/12,G58))</f>
        <v>-938140.440861754</v>
      </c>
      <c r="I58" s="954">
        <f>IF($B$26="","",-FV('Part II-Sources of Funds'!$K$40/12,12,I52/12,H58))</f>
        <v>-1072160.5038420046</v>
      </c>
      <c r="J58" s="954">
        <f>IF($B$26="","",-FV('Part II-Sources of Funds'!$K$40/12,12,J52/12,I58))</f>
        <v>-1206180.566822255</v>
      </c>
      <c r="K58" s="954">
        <f>IF($B$26="","",-FV('Part II-Sources of Funds'!$K$40/12,12,K52/12,J58))</f>
        <v>-1340200.6298025055</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3436</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158571.91171976164</v>
      </c>
      <c r="C64" s="954">
        <f>+'Part VI-Pro Forma'!C57</f>
        <v>156110.54762504963</v>
      </c>
      <c r="D64" s="954">
        <f>+'Part VI-Pro Forma'!D57</f>
        <v>153431.17757857038</v>
      </c>
      <c r="E64" s="954">
        <f>+'Part VI-Pro Forma'!E57</f>
        <v>150523.67210119218</v>
      </c>
      <c r="F64" s="954">
        <f>+'Part VI-Pro Forma'!F57</f>
        <v>147379.56704339795</v>
      </c>
      <c r="G64" s="954">
        <f>+'Part VI-Pro Forma'!G57</f>
        <v>143988.05232945277</v>
      </c>
      <c r="H64" s="954">
        <f>+'Part VI-Pro Forma'!H57</f>
        <v>140337.96033958503</v>
      </c>
      <c r="I64" s="954">
        <f>+'Part VI-Pro Forma'!I57</f>
        <v>136418.75391882594</v>
      </c>
      <c r="J64" s="954">
        <f>+'Part VI-Pro Forma'!J57</f>
        <v>132219.51400082494</v>
      </c>
      <c r="K64" s="954">
        <f>+'Part VI-Pro Forma'!K57</f>
        <v>127728.92683457266</v>
      </c>
    </row>
    <row r="65" spans="1:11">
      <c r="A65" s="953" t="s">
        <v>3437</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3438</v>
      </c>
      <c r="B66" s="955">
        <f t="shared" ref="B66:K66" si="7">-B64/B68-B65</f>
        <v>-132143.25976646805</v>
      </c>
      <c r="C66" s="955">
        <f t="shared" si="7"/>
        <v>-130092.1230208747</v>
      </c>
      <c r="D66" s="955">
        <f t="shared" si="7"/>
        <v>-127859.31464880865</v>
      </c>
      <c r="E66" s="955">
        <f t="shared" si="7"/>
        <v>-125436.39341766015</v>
      </c>
      <c r="F66" s="955">
        <f t="shared" si="7"/>
        <v>-122816.3058694983</v>
      </c>
      <c r="G66" s="955">
        <f t="shared" si="7"/>
        <v>-119990.04360787731</v>
      </c>
      <c r="H66" s="955">
        <f t="shared" si="7"/>
        <v>-116948.30028298753</v>
      </c>
      <c r="I66" s="955">
        <f t="shared" si="7"/>
        <v>-113682.29493235495</v>
      </c>
      <c r="J66" s="955">
        <f t="shared" si="7"/>
        <v>-110182.92833402079</v>
      </c>
      <c r="K66" s="955">
        <f t="shared" si="7"/>
        <v>-106440.77236214389</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158571.91171976164</v>
      </c>
      <c r="C71" s="955">
        <f t="shared" si="9"/>
        <v>156110.54762504963</v>
      </c>
      <c r="D71" s="955">
        <f t="shared" si="9"/>
        <v>153431.17757857038</v>
      </c>
      <c r="E71" s="955">
        <f t="shared" si="9"/>
        <v>150523.67210119218</v>
      </c>
      <c r="F71" s="955">
        <f t="shared" si="9"/>
        <v>147379.56704339795</v>
      </c>
      <c r="G71" s="955">
        <f t="shared" si="9"/>
        <v>143988.05232945277</v>
      </c>
      <c r="H71" s="955">
        <f>+H64</f>
        <v>140337.96033958503</v>
      </c>
      <c r="I71" s="955">
        <f>+I64</f>
        <v>136418.75391882594</v>
      </c>
      <c r="J71" s="955">
        <f>+J64</f>
        <v>132219.51400082494</v>
      </c>
      <c r="K71" s="955">
        <f>+K64</f>
        <v>127728.92683457266</v>
      </c>
    </row>
    <row r="72" spans="1:11">
      <c r="A72" s="953" t="s">
        <v>3440</v>
      </c>
      <c r="B72" s="955">
        <f t="shared" ref="B72:G72" si="10">IF($B$25="N/A",B65,B65+$B$25)</f>
        <v>-134020.06298025057</v>
      </c>
      <c r="C72" s="955">
        <f t="shared" si="10"/>
        <v>-134020.06298025057</v>
      </c>
      <c r="D72" s="955">
        <f t="shared" si="10"/>
        <v>-134020.06298025057</v>
      </c>
      <c r="E72" s="955">
        <f t="shared" si="10"/>
        <v>-134020.06298025057</v>
      </c>
      <c r="F72" s="955">
        <f t="shared" si="10"/>
        <v>-134020.06298025057</v>
      </c>
      <c r="G72" s="955">
        <f t="shared" si="10"/>
        <v>-134020.06298025057</v>
      </c>
      <c r="H72" s="955">
        <f>IF($B$25="N/A",H65,H65+$B$25)</f>
        <v>-134020.06298025057</v>
      </c>
      <c r="I72" s="955">
        <f>IF($B$25="N/A",I65,I65+$B$25)</f>
        <v>-134020.06298025057</v>
      </c>
      <c r="J72" s="955">
        <f>IF($B$25="N/A",J65,J65+$B$25)</f>
        <v>-134020.06298025057</v>
      </c>
      <c r="K72" s="955">
        <f>IF($B$25="N/A",K65,K65+$B$25)</f>
        <v>-134020.06298025057</v>
      </c>
    </row>
    <row r="73" spans="1:11">
      <c r="A73" s="953" t="s">
        <v>3441</v>
      </c>
      <c r="B73" s="954">
        <f>+'Part VI-Pro Forma'!B63</f>
        <v>-12767.205603769164</v>
      </c>
      <c r="C73" s="954">
        <f>+'Part VI-Pro Forma'!C63</f>
        <v>-13150.221771882239</v>
      </c>
      <c r="D73" s="954">
        <f>+'Part VI-Pro Forma'!D63</f>
        <v>-13544.728425038707</v>
      </c>
      <c r="E73" s="954">
        <f>+'Part VI-Pro Forma'!E63</f>
        <v>-13951.07027778987</v>
      </c>
      <c r="F73" s="954">
        <f>+'Part VI-Pro Forma'!F63</f>
        <v>-14369.602386123566</v>
      </c>
      <c r="G73" s="954">
        <f>+'Part VI-Pro Forma'!G63</f>
        <v>-14800.690457707273</v>
      </c>
      <c r="H73" s="954">
        <f>+'Part VI-Pro Forma'!H63</f>
        <v>-15244.711171438492</v>
      </c>
      <c r="I73" s="954">
        <f>+'Part VI-Pro Forma'!I63</f>
        <v>-15702.052506581647</v>
      </c>
      <c r="J73" s="954">
        <f>+'Part VI-Pro Forma'!J63</f>
        <v>0</v>
      </c>
      <c r="K73" s="954">
        <f>+'Part VI-Pro Forma'!K63</f>
        <v>0</v>
      </c>
    </row>
    <row r="74" spans="1:11">
      <c r="A74" s="953" t="s">
        <v>3442</v>
      </c>
      <c r="B74" s="955">
        <f t="shared" ref="B74:G74" si="11">+SUM(B71:B73)</f>
        <v>11784.643135741908</v>
      </c>
      <c r="C74" s="955">
        <f t="shared" si="11"/>
        <v>8940.2628729168173</v>
      </c>
      <c r="D74" s="955">
        <f t="shared" si="11"/>
        <v>5866.3861732811001</v>
      </c>
      <c r="E74" s="955">
        <f t="shared" si="11"/>
        <v>2552.5388431517349</v>
      </c>
      <c r="F74" s="955">
        <f t="shared" si="11"/>
        <v>-1010.0983229761841</v>
      </c>
      <c r="G74" s="955">
        <f t="shared" si="11"/>
        <v>-4832.7011085050781</v>
      </c>
      <c r="H74" s="955">
        <f>+SUM(H71:H73)</f>
        <v>-8926.8138121040356</v>
      </c>
      <c r="I74" s="955">
        <f>+SUM(I71:I73)</f>
        <v>-13303.361568006279</v>
      </c>
      <c r="J74" s="955">
        <f>+SUM(J71:J73)</f>
        <v>-1800.5489794256282</v>
      </c>
      <c r="K74" s="955">
        <f>+SUM(K71:K73)</f>
        <v>-6291.1361456779123</v>
      </c>
    </row>
    <row r="75" spans="1:11">
      <c r="A75" s="953" t="s">
        <v>3360</v>
      </c>
      <c r="B75" s="955">
        <f t="shared" ref="B75:G75" si="12">-B74</f>
        <v>-11784.643135741908</v>
      </c>
      <c r="C75" s="955">
        <f t="shared" si="12"/>
        <v>-8940.2628729168173</v>
      </c>
      <c r="D75" s="955">
        <f t="shared" si="12"/>
        <v>-5866.3861732811001</v>
      </c>
      <c r="E75" s="955">
        <f t="shared" si="12"/>
        <v>-2552.5388431517349</v>
      </c>
      <c r="F75" s="955">
        <f t="shared" si="12"/>
        <v>1010.0983229761841</v>
      </c>
      <c r="G75" s="955">
        <f t="shared" si="12"/>
        <v>4832.7011085050781</v>
      </c>
      <c r="H75" s="955">
        <f>-H74</f>
        <v>8926.8138121040356</v>
      </c>
      <c r="I75" s="955">
        <f>-I74</f>
        <v>13303.361568006279</v>
      </c>
      <c r="J75" s="955">
        <f>-J74</f>
        <v>1800.5489794256282</v>
      </c>
      <c r="K75" s="955">
        <f>-K74</f>
        <v>6291.1361456779123</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-1474220.6927827559</v>
      </c>
      <c r="C78" s="954">
        <f>IF($B$26="","",-FV('Part II-Sources of Funds'!$K$40/12,12,C72/12,B78))</f>
        <v>-1608240.7557630064</v>
      </c>
      <c r="D78" s="954">
        <f>IF($B$26="","",-FV('Part II-Sources of Funds'!$K$40/12,12,D72/12,C78))</f>
        <v>-1742260.8187432569</v>
      </c>
      <c r="E78" s="954">
        <f>IF($B$26="","",-FV('Part II-Sources of Funds'!$K$40/12,12,E72/12,D78))</f>
        <v>-1876280.8817235073</v>
      </c>
      <c r="F78" s="954">
        <f>IF($B$26="","",-FV('Part II-Sources of Funds'!$K$40/12,12,F72/12,E78))</f>
        <v>-2010300.9447037578</v>
      </c>
      <c r="G78" s="954">
        <f>IF($B$26="","",-FV('Part II-Sources of Funds'!$K$40/12,12,G72/12,F78))</f>
        <v>-2144321.0076840082</v>
      </c>
      <c r="H78" s="954">
        <f>IF($B$26="","",-FV('Part II-Sources of Funds'!$K$40/12,12,H72/12,G78))</f>
        <v>-2278341.0706642587</v>
      </c>
      <c r="I78" s="954">
        <f>IF($B$26="","",-FV('Part II-Sources of Funds'!$K$40/12,12,I72/12,H78))</f>
        <v>-2412361.1336445091</v>
      </c>
      <c r="J78" s="954">
        <f>IF($B$26="","",-FV('Part II-Sources of Funds'!$K$40/12,12,J72/12,I78))</f>
        <v>-2546381.1966247596</v>
      </c>
      <c r="K78" s="954">
        <f>IF($B$26="","",-FV('Part II-Sources of Funds'!$K$40/12,12,K72/12,J78))</f>
        <v>-2680401.25960501</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Freedom's Path Augusta III</v>
      </c>
    </row>
    <row r="2" spans="1:15" ht="13.5" customHeight="1"/>
    <row r="3" spans="1:15" ht="13.5" customHeight="1">
      <c r="A3" s="517" t="s">
        <v>2706</v>
      </c>
      <c r="C3" s="516" t="s">
        <v>2707</v>
      </c>
      <c r="E3" s="586">
        <f>SUM('Part III-A-Uses of Funds'!J162,'Part III-A-Uses of Funds'!M162,'Part III-A-Uses of Funds'!P162)</f>
        <v>26048420</v>
      </c>
      <c r="F3" s="1024" t="s">
        <v>2708</v>
      </c>
      <c r="H3" s="1006">
        <v>27.5</v>
      </c>
      <c r="I3" s="516" t="s">
        <v>2273</v>
      </c>
      <c r="K3" s="521" t="s">
        <v>2729</v>
      </c>
      <c r="M3" s="1024"/>
      <c r="O3" s="587"/>
    </row>
    <row r="4" spans="1:15" ht="13.5" customHeight="1">
      <c r="C4" s="516" t="s">
        <v>3127</v>
      </c>
      <c r="E4" s="586">
        <f>SUM('Part III-A-Uses of Funds'!G97:H101)</f>
        <v>0</v>
      </c>
      <c r="F4" s="1024" t="s">
        <v>3660</v>
      </c>
      <c r="H4" s="517">
        <f>'Part II-Sources of Funds'!M40</f>
        <v>0</v>
      </c>
      <c r="I4" s="516" t="s">
        <v>2273</v>
      </c>
      <c r="K4" s="588" t="s">
        <v>2957</v>
      </c>
      <c r="M4" s="1024"/>
    </row>
    <row r="5" spans="1:15" ht="13.5" customHeight="1">
      <c r="C5" s="516" t="s">
        <v>3128</v>
      </c>
      <c r="E5" s="586">
        <f>SUM('Part III-A-Uses of Funds'!G105:H111)</f>
        <v>191300</v>
      </c>
      <c r="F5" s="1024" t="s">
        <v>3659</v>
      </c>
      <c r="H5" s="1006">
        <v>15</v>
      </c>
      <c r="I5" s="516" t="s">
        <v>2273</v>
      </c>
      <c r="K5" s="587">
        <f>-E6</f>
        <v>-17408794</v>
      </c>
    </row>
    <row r="6" spans="1:15" ht="13.5" customHeight="1">
      <c r="C6" s="516" t="s">
        <v>2709</v>
      </c>
      <c r="E6" s="589">
        <f>'Part II-Sources of Funds'!$I$51+'Part II-Sources of Funds'!$I$52</f>
        <v>17408794</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70604.265600000042</v>
      </c>
      <c r="D9" s="594">
        <f>'Part VI-Pro Forma'!C33</f>
        <v>69589.090912000131</v>
      </c>
      <c r="E9" s="594">
        <f>'Part VI-Pro Forma'!D33</f>
        <v>68424.486730240053</v>
      </c>
      <c r="F9" s="594">
        <f>'Part VI-Pro Forma'!E33</f>
        <v>67103.866884844843</v>
      </c>
      <c r="G9" s="594">
        <f>'Part VI-Pro Forma'!F33</f>
        <v>65621.39775514169</v>
      </c>
      <c r="H9" s="594">
        <f>'Part VI-Pro Forma'!G33</f>
        <v>63967.989848822559</v>
      </c>
      <c r="I9" s="594">
        <f>'Part VI-Pro Forma'!H33</f>
        <v>62137.289108534314</v>
      </c>
      <c r="K9" s="587" t="e">
        <f>F24</f>
        <v>#VALUE!</v>
      </c>
      <c r="N9" s="595" t="s">
        <v>2715</v>
      </c>
    </row>
    <row r="10" spans="1:15" ht="13.5" customHeight="1">
      <c r="A10" s="516" t="s">
        <v>2714</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-31920</v>
      </c>
      <c r="D13" s="979">
        <f>'Part VI-Pro Forma'!C23</f>
        <v>-32877.599999999999</v>
      </c>
      <c r="E13" s="979">
        <f>'Part VI-Pro Forma'!D23</f>
        <v>-33863.928</v>
      </c>
      <c r="F13" s="979">
        <f>'Part VI-Pro Forma'!E23</f>
        <v>-34879.845840000002</v>
      </c>
      <c r="G13" s="979">
        <f>'Part VI-Pro Forma'!F23</f>
        <v>-35926.241215199996</v>
      </c>
      <c r="H13" s="979">
        <f>'Part VI-Pro Forma'!G23</f>
        <v>-37004.028451655999</v>
      </c>
      <c r="I13" s="979">
        <f>'Part VI-Pro Forma'!H23</f>
        <v>-38114.149305205676</v>
      </c>
      <c r="K13" s="587" t="e">
        <f>C44</f>
        <v>#VALUE!</v>
      </c>
      <c r="O13" s="592"/>
    </row>
    <row r="14" spans="1:15" ht="13.5" customHeight="1">
      <c r="A14" s="598" t="s">
        <v>3130</v>
      </c>
      <c r="B14" s="598"/>
      <c r="C14" s="979">
        <f>'Part VI-Pro Forma'!B32</f>
        <v>-92931</v>
      </c>
      <c r="D14" s="979">
        <f>'Part VI-Pro Forma'!C32</f>
        <v>-92931</v>
      </c>
      <c r="E14" s="979">
        <f>'Part VI-Pro Forma'!D32</f>
        <v>-92931</v>
      </c>
      <c r="F14" s="979">
        <f>'Part VI-Pro Forma'!E32</f>
        <v>-92931</v>
      </c>
      <c r="G14" s="979">
        <f>'Part VI-Pro Forma'!F32</f>
        <v>-92931</v>
      </c>
      <c r="H14" s="979">
        <f>'Part VI-Pro Forma'!G32</f>
        <v>-92931</v>
      </c>
      <c r="I14" s="979">
        <f>'Part VI-Pro Forma'!H32</f>
        <v>-92931</v>
      </c>
      <c r="K14" s="587" t="e">
        <f>D44</f>
        <v>#VALUE!</v>
      </c>
      <c r="M14" s="516" t="s">
        <v>2721</v>
      </c>
      <c r="O14" s="592" t="e">
        <f>O6-O8-O12</f>
        <v>#VALUE!</v>
      </c>
    </row>
    <row r="15" spans="1:15" ht="13.5" customHeight="1">
      <c r="A15" s="516" t="s">
        <v>2717</v>
      </c>
      <c r="C15" s="599">
        <f t="shared" ref="C15:I15" si="0">$E$3/$H$3</f>
        <v>947215.27272727271</v>
      </c>
      <c r="D15" s="599">
        <f t="shared" si="0"/>
        <v>947215.27272727271</v>
      </c>
      <c r="E15" s="599">
        <f t="shared" si="0"/>
        <v>947215.27272727271</v>
      </c>
      <c r="F15" s="599">
        <f t="shared" si="0"/>
        <v>947215.27272727271</v>
      </c>
      <c r="G15" s="599">
        <f t="shared" si="0"/>
        <v>947215.27272727271</v>
      </c>
      <c r="H15" s="599">
        <f t="shared" si="0"/>
        <v>947215.27272727271</v>
      </c>
      <c r="I15" s="599">
        <f t="shared" si="0"/>
        <v>947215.27272727271</v>
      </c>
      <c r="K15" s="587" t="e">
        <f>E44</f>
        <v>#VALUE!</v>
      </c>
      <c r="O15" s="592"/>
    </row>
    <row r="16" spans="1:15" ht="13.5" customHeight="1">
      <c r="A16" s="516" t="s">
        <v>2719</v>
      </c>
      <c r="C16" s="599">
        <f>IF(C$8&lt;=$H$4,($E$4/$H$4),0)+IF(C$8&lt;=$H$5,($E$5/$H$5),0)</f>
        <v>12753.333333333334</v>
      </c>
      <c r="D16" s="599">
        <f t="shared" ref="D16:I16" si="1">IF(D$8&lt;=$H$4,($E$4/$H$4),0)+IF(D$8&lt;=$H$5,($E$5/$H$5),0)</f>
        <v>12753.333333333334</v>
      </c>
      <c r="E16" s="599">
        <f t="shared" si="1"/>
        <v>12753.333333333334</v>
      </c>
      <c r="F16" s="599">
        <f t="shared" si="1"/>
        <v>12753.333333333334</v>
      </c>
      <c r="G16" s="599">
        <f t="shared" si="1"/>
        <v>12753.333333333334</v>
      </c>
      <c r="H16" s="599">
        <f t="shared" si="1"/>
        <v>12753.333333333334</v>
      </c>
      <c r="I16" s="599">
        <f t="shared" si="1"/>
        <v>12753.333333333334</v>
      </c>
      <c r="K16" s="587" t="e">
        <f>F44</f>
        <v>#VALUE!</v>
      </c>
      <c r="M16" s="516" t="s">
        <v>2723</v>
      </c>
      <c r="O16" s="592">
        <f>E3</f>
        <v>26048420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18944305.454545453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7104114.5454545468</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7104114.5454545468</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-7104114.5454545468</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60120.667937322258</v>
      </c>
      <c r="D29" s="594">
        <f>'Part VI-Pro Forma'!J33</f>
        <v>57910.215934084932</v>
      </c>
      <c r="E29" s="594">
        <f>'Part VI-Pro Forma'!K33</f>
        <v>55496.730329922837</v>
      </c>
      <c r="F29" s="594">
        <f>'Part VI-Pro Forma'!B65</f>
        <v>145804.70611599248</v>
      </c>
      <c r="G29" s="594">
        <f>'Part VI-Pro Forma'!C65</f>
        <v>142960.32585316739</v>
      </c>
      <c r="H29" s="594">
        <f>'Part VI-Pro Forma'!D65</f>
        <v>139886.44915353166</v>
      </c>
      <c r="I29" s="594">
        <f>'Part VI-Pro Forma'!E65</f>
        <v>136572.60182340231</v>
      </c>
      <c r="N29" s="603"/>
      <c r="O29" s="603"/>
    </row>
    <row r="30" spans="1:17" ht="13.5" customHeight="1">
      <c r="A30" s="516" t="s">
        <v>2714</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-1420822.9090909094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-39257.573784361848</v>
      </c>
      <c r="D33" s="979">
        <f>'Part VI-Pro Forma'!J23</f>
        <v>-40435.3009978927</v>
      </c>
      <c r="E33" s="979">
        <f>'Part VI-Pro Forma'!K23</f>
        <v>-41648.360027829483</v>
      </c>
      <c r="F33" s="979">
        <f>'Part VI-Pro Forma'!B55</f>
        <v>-42897.810828664369</v>
      </c>
      <c r="G33" s="979">
        <f>'Part VI-Pro Forma'!C55</f>
        <v>-44184.745153524302</v>
      </c>
      <c r="H33" s="979">
        <f>'Part VI-Pro Forma'!D55</f>
        <v>-45510.287508130023</v>
      </c>
      <c r="I33" s="979">
        <f>'Part VI-Pro Forma'!E55</f>
        <v>-46875.596133373918</v>
      </c>
      <c r="K33" s="516" t="s">
        <v>233</v>
      </c>
      <c r="M33" s="516" t="s">
        <v>2734</v>
      </c>
      <c r="O33" s="594" t="e">
        <f>O14-O31</f>
        <v>#VALUE!</v>
      </c>
    </row>
    <row r="34" spans="1:15" ht="13.5" customHeight="1">
      <c r="A34" s="598" t="s">
        <v>3130</v>
      </c>
      <c r="B34" s="598"/>
      <c r="C34" s="979">
        <f>'Part VI-Pro Forma'!I32</f>
        <v>-92931</v>
      </c>
      <c r="D34" s="979">
        <f>'Part VI-Pro Forma'!J32</f>
        <v>-92931</v>
      </c>
      <c r="E34" s="979">
        <f>'Part VI-Pro Forma'!K32</f>
        <v>-92932</v>
      </c>
      <c r="F34" s="979">
        <f>'Part VI-Pro Forma'!B64</f>
        <v>0</v>
      </c>
      <c r="G34" s="979">
        <f>'Part VI-Pro Forma'!C64</f>
        <v>0</v>
      </c>
      <c r="H34" s="979">
        <f>'Part VI-Pro Forma'!D64</f>
        <v>0</v>
      </c>
      <c r="I34" s="979">
        <f>'Part VI-Pro Forma'!E64</f>
        <v>0</v>
      </c>
    </row>
    <row r="35" spans="1:15" ht="13.5" customHeight="1">
      <c r="A35" s="516" t="s">
        <v>2717</v>
      </c>
      <c r="C35" s="599">
        <f t="shared" ref="C35:I35" si="8">$E$3/$H$3</f>
        <v>947215.27272727271</v>
      </c>
      <c r="D35" s="599">
        <f t="shared" si="8"/>
        <v>947215.27272727271</v>
      </c>
      <c r="E35" s="599">
        <f t="shared" si="8"/>
        <v>947215.27272727271</v>
      </c>
      <c r="F35" s="599">
        <f t="shared" si="8"/>
        <v>947215.27272727271</v>
      </c>
      <c r="G35" s="599">
        <f t="shared" si="8"/>
        <v>947215.27272727271</v>
      </c>
      <c r="H35" s="599">
        <f t="shared" si="8"/>
        <v>947215.27272727271</v>
      </c>
      <c r="I35" s="599">
        <f t="shared" si="8"/>
        <v>947215.27272727271</v>
      </c>
    </row>
    <row r="36" spans="1:15" ht="13.5" customHeight="1">
      <c r="A36" s="516" t="s">
        <v>2719</v>
      </c>
      <c r="C36" s="594">
        <f>IF(C$28&lt;=$H$4,($E$4/$H$4),0)+IF(C$28&lt;=$H$5,($E$5/$H$5),0)</f>
        <v>12753.333333333334</v>
      </c>
      <c r="D36" s="594">
        <f t="shared" ref="D36:I36" si="9">IF(D$28&lt;=$H$4,($E$4/$H$4),0)+IF(D$28&lt;=$H$5,($E$5/$H$5),0)</f>
        <v>12753.333333333334</v>
      </c>
      <c r="E36" s="594">
        <f t="shared" si="9"/>
        <v>12753.333333333334</v>
      </c>
      <c r="F36" s="594">
        <f t="shared" si="9"/>
        <v>12753.333333333334</v>
      </c>
      <c r="G36" s="594">
        <f t="shared" si="9"/>
        <v>12753.333333333334</v>
      </c>
      <c r="H36" s="594">
        <f t="shared" si="9"/>
        <v>12753.333333333334</v>
      </c>
      <c r="I36" s="594">
        <f t="shared" si="9"/>
        <v>12753.333333333334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133009.96465727439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-48281.864017375141</v>
      </c>
      <c r="D53" s="979">
        <f>'Part VI-Pro Forma'!G55</f>
        <v>-49730.319937896398</v>
      </c>
      <c r="E53" s="979">
        <f>'Part VI-Pro Forma'!H55</f>
        <v>-51222.229536033286</v>
      </c>
      <c r="F53" s="979">
        <f>'Part VI-Pro Forma'!I55</f>
        <v>-52758.896422114281</v>
      </c>
      <c r="G53" s="979">
        <f>'Part VI-Pro Forma'!J55</f>
        <v>-54341.66331477771</v>
      </c>
      <c r="H53" s="979">
        <f>'Part VI-Pro Forma'!K55</f>
        <v>-55971.913214221044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947215.27272727271</v>
      </c>
      <c r="D55" s="599">
        <f t="shared" si="14"/>
        <v>947215.27272727271</v>
      </c>
      <c r="E55" s="599">
        <f t="shared" si="14"/>
        <v>947215.27272727271</v>
      </c>
      <c r="F55" s="599">
        <f t="shared" si="14"/>
        <v>947215.27272727271</v>
      </c>
      <c r="G55" s="599">
        <f t="shared" si="14"/>
        <v>947215.27272727271</v>
      </c>
      <c r="H55" s="599">
        <f t="shared" si="14"/>
        <v>947215.27272727271</v>
      </c>
    </row>
    <row r="56" spans="1:10" ht="13.5" customHeight="1">
      <c r="A56" s="516" t="s">
        <v>2719</v>
      </c>
      <c r="C56" s="594">
        <f t="shared" ref="C56:H56" si="15">IF(C$48&lt;=$H$4,($E$4/$H$4),0)+IF(C$48&lt;=$H$5,($E$5/$H$5),0)</f>
        <v>12753.333333333334</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Freedom's Path Augusta III</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6059</v>
      </c>
      <c r="B4" s="4770"/>
      <c r="C4" s="1476"/>
      <c r="D4" s="4770" t="s">
        <v>6060</v>
      </c>
      <c r="E4" s="4770"/>
      <c r="F4" s="523"/>
      <c r="G4" s="4770" t="s">
        <v>6061</v>
      </c>
      <c r="H4" s="4770"/>
      <c r="I4" s="523"/>
      <c r="J4" s="4770" t="s">
        <v>6176</v>
      </c>
      <c r="K4" s="4770"/>
    </row>
    <row r="5" spans="1:11" ht="25.9" customHeight="1">
      <c r="A5" s="4771">
        <f>'Part II-Sources of Funds'!E40</f>
        <v>0</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Freedom's Path Augusta III</v>
      </c>
      <c r="B1" s="4773"/>
      <c r="C1" s="4773"/>
      <c r="D1" s="4773"/>
      <c r="E1" s="4773"/>
      <c r="F1" s="4773"/>
      <c r="G1" s="4773"/>
      <c r="H1" s="4773"/>
    </row>
    <row r="3" spans="1:11" ht="12" customHeight="1">
      <c r="A3" s="4774" t="s">
        <v>3104</v>
      </c>
      <c r="B3" s="4774"/>
      <c r="C3" s="4774"/>
      <c r="D3" s="4774"/>
      <c r="E3" s="4774"/>
      <c r="F3" s="4774"/>
      <c r="G3" s="4774"/>
      <c r="H3" s="4774"/>
      <c r="I3" s="1027"/>
      <c r="J3" s="4776" t="s">
        <v>3457</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3462</v>
      </c>
      <c r="E11" s="4777"/>
      <c r="F11" s="4777"/>
      <c r="G11" s="4777"/>
      <c r="H11" s="4777"/>
    </row>
    <row r="12" spans="1:11" ht="12" customHeight="1">
      <c r="C12" s="432" t="s">
        <v>3458</v>
      </c>
      <c r="E12" s="1991"/>
    </row>
    <row r="13" spans="1:11" ht="12" customHeight="1">
      <c r="C13" s="432" t="s">
        <v>3461</v>
      </c>
      <c r="E13" s="1991"/>
    </row>
    <row r="14" spans="1:11" ht="3" customHeight="1"/>
    <row r="15" spans="1:11" ht="12" customHeight="1">
      <c r="A15" s="432">
        <v>3</v>
      </c>
      <c r="C15" s="432" t="s">
        <v>2743</v>
      </c>
      <c r="E15" s="620" t="str">
        <f>'Sensitivity Analysis'!C8</f>
        <v>Freedom's Path Augusta III</v>
      </c>
    </row>
    <row r="16" spans="1:11" ht="12" customHeight="1">
      <c r="C16" s="432" t="s">
        <v>2744</v>
      </c>
      <c r="E16" s="4777"/>
      <c r="F16" s="4777"/>
      <c r="G16" s="4777"/>
      <c r="H16" s="4777"/>
    </row>
    <row r="17" spans="1:8" ht="12" customHeight="1">
      <c r="E17" s="438" t="str">
        <f>'Part I-Project Identification'!$F$26</f>
        <v>Augusta</v>
      </c>
      <c r="F17" s="609" t="s">
        <v>791</v>
      </c>
      <c r="G17" s="4778" t="s">
        <v>6749</v>
      </c>
      <c r="H17" s="4778"/>
    </row>
    <row r="18" spans="1:8" ht="12" customHeight="1">
      <c r="E18" s="620" t="str">
        <f>(CONCATENATE('Part I-Project Identification'!$J$26," County"))</f>
        <v>Richmond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3458</v>
      </c>
      <c r="E23" s="1991"/>
    </row>
    <row r="24" spans="1:8" ht="12" customHeight="1">
      <c r="C24" s="432" t="s">
        <v>3461</v>
      </c>
      <c r="E24" s="1991"/>
    </row>
    <row r="25" spans="1:8" ht="12" customHeight="1">
      <c r="C25" s="432" t="s">
        <v>3462</v>
      </c>
      <c r="E25" s="4777"/>
      <c r="F25" s="4777"/>
      <c r="G25" s="4777"/>
      <c r="H25" s="4777"/>
    </row>
    <row r="26" spans="1:8" ht="3" customHeight="1">
      <c r="E26" s="620"/>
    </row>
    <row r="27" spans="1:8" ht="12" customHeight="1">
      <c r="A27" s="432">
        <v>5</v>
      </c>
      <c r="C27" s="432" t="s">
        <v>2747</v>
      </c>
      <c r="E27" s="620" t="str">
        <f>'Sensitivity Analysis'!$H$7</f>
        <v>Substantial Rehabilitation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18662037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3464</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76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3463</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t="str">
        <f>'Subsidy Layering Memo'!$L$70</f>
        <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209200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104600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2960</v>
      </c>
      <c r="B1" s="4782"/>
      <c r="C1" s="4782"/>
      <c r="D1" s="4782"/>
      <c r="E1" s="4782"/>
      <c r="F1" s="4782"/>
      <c r="G1" s="4782"/>
      <c r="H1" s="4782"/>
      <c r="I1" s="4782"/>
      <c r="J1" s="4782"/>
    </row>
    <row r="2" spans="1:13" ht="15">
      <c r="A2" s="4782" t="str">
        <f>'Sensitivity Analysis'!E8&amp;"  "&amp;'Sensitivity Analysis'!C8</f>
        <v>2023-0  Freedom's Path Augusta III</v>
      </c>
      <c r="B2" s="4782"/>
      <c r="C2" s="4782"/>
      <c r="D2" s="4782"/>
      <c r="E2" s="4782"/>
      <c r="F2" s="4782"/>
      <c r="G2" s="4782"/>
      <c r="H2" s="4782"/>
      <c r="I2" s="4782"/>
      <c r="J2" s="4782"/>
    </row>
    <row r="3" spans="1:13" ht="6" customHeight="1">
      <c r="K3" s="4776" t="s">
        <v>3457</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Freedom's Path Augusta III</v>
      </c>
      <c r="I28" s="560"/>
    </row>
    <row r="29" spans="1:9" ht="3" customHeight="1">
      <c r="C29" s="613"/>
      <c r="I29" s="560"/>
    </row>
    <row r="30" spans="1:9" ht="12" customHeight="1">
      <c r="A30" s="432" t="s">
        <v>2791</v>
      </c>
      <c r="C30" s="613">
        <f>'Preview term'!E16</f>
        <v>0</v>
      </c>
      <c r="I30" s="560"/>
    </row>
    <row r="31" spans="1:9">
      <c r="C31" s="560" t="str">
        <f>'Preview term'!E17</f>
        <v>Augusta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20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6163</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6164</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3108</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3109</v>
      </c>
      <c r="E53" s="4786"/>
      <c r="F53" s="4786"/>
      <c r="G53" s="4786"/>
      <c r="H53" s="4786"/>
      <c r="I53" s="4786"/>
      <c r="J53" s="4786"/>
    </row>
    <row r="54" spans="1:10" ht="12" customHeight="1">
      <c r="A54" s="617"/>
      <c r="B54" s="617"/>
      <c r="C54" s="617"/>
      <c r="D54" s="619" t="s">
        <v>3110</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18662037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6165</v>
      </c>
      <c r="G84" s="560"/>
    </row>
    <row r="85" spans="1:9" ht="3" customHeight="1">
      <c r="G85" s="560"/>
      <c r="H85" s="560"/>
      <c r="I85" s="560"/>
    </row>
    <row r="86" spans="1:9" ht="12" customHeight="1">
      <c r="A86" s="432" t="s">
        <v>2825</v>
      </c>
      <c r="C86" s="1557" t="str">
        <f>'Subsidy Layering Memo'!L70</f>
        <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Regions 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f>'Part II-Sources of Funds'!E40</f>
        <v>0</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6168</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492344.5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1"/>
      <c r="F166" s="4781"/>
      <c r="G166" s="4781"/>
      <c r="I166" s="560"/>
    </row>
    <row r="167" spans="1:9" ht="3" customHeight="1">
      <c r="E167" s="560"/>
      <c r="G167" s="560"/>
      <c r="I167" s="560"/>
    </row>
    <row r="168" spans="1:9" ht="12" customHeight="1">
      <c r="A168" s="432" t="s">
        <v>2866</v>
      </c>
      <c r="C168" s="432" t="s">
        <v>2867</v>
      </c>
      <c r="E168" s="632">
        <f>'Preview term'!F74</f>
        <v>209200</v>
      </c>
      <c r="G168" s="560"/>
      <c r="I168" s="560"/>
    </row>
    <row r="169" spans="1:9" ht="12" customHeight="1">
      <c r="C169" s="432" t="s">
        <v>3115</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31920</v>
      </c>
      <c r="F174" s="560" t="s">
        <v>2871</v>
      </c>
    </row>
    <row r="175" spans="1:9">
      <c r="E175" s="632">
        <f>E174/12</f>
        <v>2660</v>
      </c>
      <c r="F175" s="560" t="s">
        <v>2736</v>
      </c>
    </row>
    <row r="176" spans="1:9" ht="12" customHeight="1">
      <c r="C176" s="432" t="s">
        <v>3116</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104600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6152</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6155</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66" t="str">
        <f>'Part I-Project Identification'!F25</f>
        <v>Freedom's Path Augusta III</v>
      </c>
      <c r="E3" s="4167"/>
      <c r="F3" s="4167"/>
      <c r="G3" s="4167"/>
      <c r="H3" s="4167"/>
      <c r="I3" s="4167"/>
      <c r="J3" s="4820" t="s">
        <v>3969</v>
      </c>
      <c r="K3" s="4821"/>
    </row>
    <row r="4" spans="1:11" ht="15" customHeight="1">
      <c r="A4" s="1332" t="s">
        <v>3967</v>
      </c>
      <c r="B4" s="1333"/>
      <c r="C4" s="1334"/>
      <c r="D4" s="4816">
        <f>'Preview term'!$E$16</f>
        <v>0</v>
      </c>
      <c r="E4" s="4817"/>
      <c r="F4" s="4817"/>
      <c r="G4" s="4817"/>
      <c r="H4" s="4817"/>
      <c r="I4" s="4817"/>
      <c r="J4" s="4172" t="s">
        <v>4008</v>
      </c>
      <c r="K4" s="4173"/>
    </row>
    <row r="5" spans="1:11" ht="15" customHeight="1" thickBot="1">
      <c r="A5" s="1335" t="s">
        <v>3968</v>
      </c>
      <c r="B5" s="1336"/>
      <c r="C5" s="1337"/>
      <c r="D5" s="4818"/>
      <c r="E5" s="4819"/>
      <c r="F5" s="4819"/>
      <c r="G5" s="4819"/>
      <c r="H5" s="4819"/>
      <c r="I5" s="4819"/>
      <c r="J5" s="4174"/>
      <c r="K5" s="4175"/>
    </row>
    <row r="6" spans="1:11" ht="9" customHeight="1" thickBot="1">
      <c r="E6" s="1327"/>
    </row>
    <row r="7" spans="1:11">
      <c r="A7" s="4184" t="s">
        <v>3970</v>
      </c>
      <c r="B7" s="4185"/>
      <c r="C7" s="4185"/>
      <c r="D7" s="4185"/>
      <c r="E7" s="4185"/>
      <c r="F7" s="4185"/>
      <c r="G7" s="4185"/>
      <c r="H7" s="4185"/>
      <c r="I7" s="4185"/>
      <c r="J7" s="4185"/>
      <c r="K7" s="4186"/>
    </row>
    <row r="8" spans="1:11" ht="14.25" customHeight="1">
      <c r="A8" s="1333"/>
      <c r="B8" s="1333"/>
      <c r="C8" s="1365">
        <v>1</v>
      </c>
      <c r="D8" s="1352" t="s">
        <v>3971</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3972</v>
      </c>
      <c r="B10" s="4188"/>
      <c r="C10" s="4188"/>
      <c r="D10" s="4188"/>
      <c r="E10" s="4188"/>
      <c r="F10" s="4188"/>
      <c r="G10" s="4188"/>
      <c r="H10" s="4188"/>
      <c r="I10" s="4188"/>
      <c r="J10" s="4188"/>
      <c r="K10" s="4189"/>
    </row>
    <row r="11" spans="1:11" ht="14.25" customHeight="1">
      <c r="A11" s="1333"/>
      <c r="B11" s="1333"/>
      <c r="C11" s="1365">
        <v>2</v>
      </c>
      <c r="D11" s="1352" t="s">
        <v>3973</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3974</v>
      </c>
      <c r="B13" s="4188"/>
      <c r="C13" s="4188"/>
      <c r="D13" s="4188"/>
      <c r="E13" s="4188"/>
      <c r="F13" s="4188"/>
      <c r="G13" s="4188"/>
      <c r="H13" s="4188"/>
      <c r="I13" s="4188"/>
      <c r="J13" s="4188"/>
      <c r="K13" s="4189"/>
    </row>
    <row r="14" spans="1:11" ht="14.25" customHeight="1">
      <c r="A14" s="1333"/>
      <c r="B14" s="1333"/>
      <c r="C14" s="1366">
        <v>3</v>
      </c>
      <c r="D14" s="1356" t="s">
        <v>3975</v>
      </c>
      <c r="E14" s="1356"/>
      <c r="F14" s="1356"/>
      <c r="G14" s="1356"/>
      <c r="H14" s="1356"/>
      <c r="I14" s="1356"/>
      <c r="J14" s="4793"/>
      <c r="K14" s="4794"/>
    </row>
    <row r="15" spans="1:11" ht="14.25" customHeight="1">
      <c r="A15" s="1333"/>
      <c r="B15" s="1333"/>
      <c r="C15" s="1367">
        <v>4</v>
      </c>
      <c r="D15" s="1333" t="s">
        <v>3976</v>
      </c>
      <c r="E15" s="1333"/>
      <c r="F15" s="1333"/>
      <c r="G15" s="1333"/>
      <c r="H15" s="1333"/>
      <c r="I15" s="1333"/>
      <c r="J15" s="4791"/>
      <c r="K15" s="4792"/>
    </row>
    <row r="16" spans="1:11" ht="14.25" customHeight="1">
      <c r="A16" s="1333"/>
      <c r="B16" s="1333"/>
      <c r="C16" s="1367">
        <v>5</v>
      </c>
      <c r="D16" s="1333" t="s">
        <v>3977</v>
      </c>
      <c r="E16" s="1333"/>
      <c r="F16" s="1333"/>
      <c r="G16" s="1333"/>
      <c r="H16" s="1333"/>
      <c r="I16" s="1333"/>
      <c r="J16" s="4791"/>
      <c r="K16" s="4792"/>
    </row>
    <row r="17" spans="1:13" ht="14.25" customHeight="1">
      <c r="A17" s="1333"/>
      <c r="B17" s="1333"/>
      <c r="C17" s="1368">
        <v>6</v>
      </c>
      <c r="D17" s="1336" t="s">
        <v>3978</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3979</v>
      </c>
      <c r="E19" s="1356"/>
      <c r="F19" s="1356"/>
      <c r="G19" s="1356"/>
      <c r="H19" s="1356"/>
      <c r="I19" s="1356"/>
      <c r="J19" s="4115" t="str">
        <f>IF(J17="No",J14-J15,IF(J17="Yes",J14-J15-J16,"Error"))</f>
        <v>Error</v>
      </c>
      <c r="K19" s="4116"/>
    </row>
    <row r="20" spans="1:13" ht="14.25" customHeight="1">
      <c r="A20" s="1333"/>
      <c r="B20" s="1333"/>
      <c r="C20" s="1368">
        <v>8</v>
      </c>
      <c r="D20" s="1336" t="s">
        <v>3980</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3981</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4012</v>
      </c>
      <c r="B30" s="4155"/>
      <c r="C30" s="4155"/>
      <c r="D30" s="4155"/>
      <c r="E30" s="4155"/>
      <c r="F30" s="4155"/>
      <c r="G30" s="4155"/>
      <c r="H30" s="4155"/>
      <c r="I30" s="4155"/>
      <c r="J30" s="4155"/>
      <c r="K30" s="4156"/>
    </row>
    <row r="31" spans="1:13">
      <c r="B31" s="4805" t="s">
        <v>3969</v>
      </c>
      <c r="C31" s="4805"/>
      <c r="D31" s="4805"/>
      <c r="E31" s="4805"/>
      <c r="F31" s="4805"/>
      <c r="G31" s="4158" t="s">
        <v>3983</v>
      </c>
      <c r="H31" s="4159"/>
      <c r="I31" s="4159"/>
      <c r="J31" s="4159"/>
      <c r="K31" s="4160"/>
    </row>
    <row r="32" spans="1:13" ht="56.25" customHeight="1">
      <c r="A32" s="1351"/>
      <c r="B32" s="1369" t="s">
        <v>4011</v>
      </c>
      <c r="C32" s="1370" t="s">
        <v>4007</v>
      </c>
      <c r="D32" s="1370" t="s">
        <v>4006</v>
      </c>
      <c r="E32" s="4161" t="s">
        <v>6097</v>
      </c>
      <c r="F32" s="4162"/>
      <c r="G32" s="1371" t="s">
        <v>3984</v>
      </c>
      <c r="H32" s="1371" t="s">
        <v>3985</v>
      </c>
      <c r="J32" s="1371" t="s">
        <v>3986</v>
      </c>
      <c r="K32" s="1371" t="s">
        <v>3987</v>
      </c>
      <c r="L32" s="4163" t="s">
        <v>3988</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3989</v>
      </c>
      <c r="H52" s="1372" t="e">
        <f>SUM(H33:H51)</f>
        <v>#VALUE!</v>
      </c>
      <c r="I52" s="1356"/>
      <c r="J52" s="1362" t="s">
        <v>3990</v>
      </c>
      <c r="K52" s="1358" t="e">
        <f>SUM(K33:K51)</f>
        <v>#VALUE!</v>
      </c>
      <c r="L52" s="4163"/>
      <c r="M52" s="4163"/>
    </row>
    <row r="53" spans="1:13" ht="15" customHeight="1">
      <c r="B53" s="1363"/>
      <c r="C53" s="4149" t="s">
        <v>3991</v>
      </c>
      <c r="D53" s="4149"/>
      <c r="E53" s="4149"/>
      <c r="F53" s="4149"/>
      <c r="G53" s="4149"/>
      <c r="H53" s="4149"/>
      <c r="I53" s="4149"/>
      <c r="J53" s="4150"/>
      <c r="K53" s="1364" t="str">
        <f>IF(J17="no",0,IF(J17="yes",J16,"Error"))</f>
        <v>Error</v>
      </c>
      <c r="L53" s="4163"/>
      <c r="M53" s="4163"/>
    </row>
    <row r="54" spans="1:13" ht="15" customHeight="1" thickBot="1">
      <c r="B54" s="1363"/>
      <c r="C54" s="4151" t="s">
        <v>3992</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3993</v>
      </c>
      <c r="B56" s="4125"/>
      <c r="C56" s="4125"/>
      <c r="D56" s="4125"/>
      <c r="E56" s="4125"/>
      <c r="F56" s="4125"/>
      <c r="G56" s="4125"/>
      <c r="H56" s="4125"/>
      <c r="I56" s="4125"/>
      <c r="J56" s="4125"/>
      <c r="K56" s="4126"/>
    </row>
    <row r="57" spans="1:13" ht="48" customHeight="1">
      <c r="A57" s="1348"/>
      <c r="B57" s="1339"/>
      <c r="C57" s="1350" t="s">
        <v>3994</v>
      </c>
      <c r="D57" s="1483" t="s">
        <v>6062</v>
      </c>
      <c r="E57" s="4136" t="s">
        <v>4010</v>
      </c>
      <c r="F57" s="4137"/>
      <c r="G57" s="4810" t="s">
        <v>3995</v>
      </c>
      <c r="H57" s="4811"/>
      <c r="I57" s="4136" t="s">
        <v>4009</v>
      </c>
      <c r="J57" s="4137"/>
      <c r="K57" s="4140"/>
    </row>
    <row r="58" spans="1:13" ht="15" customHeight="1">
      <c r="A58" s="1465"/>
      <c r="B58" s="1381"/>
      <c r="C58" s="1359">
        <f>SUMIF(C33:C51, "0", H33:H51)</f>
        <v>0</v>
      </c>
      <c r="D58" s="1484">
        <f t="shared" ref="D58:D63" si="4">ROUNDUP(C58*1.1,0)</f>
        <v>0</v>
      </c>
      <c r="E58" s="4142" t="s">
        <v>3996</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3997</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3998</v>
      </c>
      <c r="F63" s="4134"/>
      <c r="G63" s="4806">
        <f>'DCA Underwriting Assumptions'!H133</f>
        <v>316236</v>
      </c>
      <c r="H63" s="4807"/>
      <c r="I63" s="4135">
        <f t="shared" si="5"/>
        <v>0</v>
      </c>
      <c r="J63" s="4135"/>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23"/>
      <c r="B65" s="4123"/>
      <c r="C65" s="4123"/>
      <c r="D65" s="4123"/>
      <c r="E65" s="4123"/>
      <c r="F65" s="4123"/>
      <c r="G65" s="4123"/>
      <c r="H65" s="4123"/>
      <c r="I65" s="4123"/>
      <c r="J65" s="4123"/>
    </row>
    <row r="66" spans="1:11">
      <c r="A66" s="4124" t="s">
        <v>4001</v>
      </c>
      <c r="B66" s="4125"/>
      <c r="C66" s="4125"/>
      <c r="D66" s="4125"/>
      <c r="E66" s="4125"/>
      <c r="F66" s="4125"/>
      <c r="G66" s="4125"/>
      <c r="H66" s="4125"/>
      <c r="I66" s="4125"/>
      <c r="J66" s="4125"/>
      <c r="K66" s="4126"/>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27" t="s">
        <v>4005</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Freedom's Path Augusta III</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51943.438800000004</v>
      </c>
      <c r="K4" s="1008" t="s">
        <v>3662</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17408794</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4079</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4084</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4077</v>
      </c>
      <c r="D29" s="638" t="s">
        <v>4078</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4082</v>
      </c>
      <c r="E33" s="4822" t="s">
        <v>3121</v>
      </c>
      <c r="F33" s="4822"/>
      <c r="G33" s="4822"/>
      <c r="H33" s="4822"/>
    </row>
    <row r="34" spans="1:11" ht="12.75" customHeight="1">
      <c r="C34" s="1450"/>
      <c r="D34" s="1448" t="s">
        <v>2984</v>
      </c>
      <c r="E34" s="4825" t="s">
        <v>3122</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4082</v>
      </c>
      <c r="E38" s="4822" t="s">
        <v>3121</v>
      </c>
      <c r="F38" s="4822"/>
      <c r="G38" s="4822"/>
      <c r="H38" s="4822"/>
    </row>
    <row r="39" spans="1:11" ht="12.75" customHeight="1">
      <c r="C39" s="1450"/>
      <c r="D39" s="1448" t="s">
        <v>2984</v>
      </c>
      <c r="E39" s="4825" t="s">
        <v>3122</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4082</v>
      </c>
      <c r="E43" s="4822" t="s">
        <v>3121</v>
      </c>
      <c r="F43" s="4822"/>
      <c r="G43" s="4822"/>
      <c r="H43" s="4822"/>
    </row>
    <row r="44" spans="1:11" ht="12.75" customHeight="1">
      <c r="C44" s="1450"/>
      <c r="D44" s="1448" t="s">
        <v>2984</v>
      </c>
      <c r="E44" s="4825" t="s">
        <v>3122</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4082</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4082</v>
      </c>
      <c r="E55" s="4822" t="s">
        <v>3121</v>
      </c>
      <c r="F55" s="4822"/>
      <c r="G55" s="4822"/>
      <c r="H55" s="4822"/>
    </row>
    <row r="56" spans="1:11" ht="12.75" customHeight="1">
      <c r="C56" s="1450"/>
      <c r="D56" s="1448" t="s">
        <v>2984</v>
      </c>
      <c r="E56" s="4825" t="s">
        <v>3122</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4082</v>
      </c>
      <c r="E60" s="4822" t="s">
        <v>3121</v>
      </c>
      <c r="F60" s="4822"/>
      <c r="G60" s="4822"/>
      <c r="H60" s="4822"/>
    </row>
    <row r="61" spans="1:11" ht="12.75" customHeight="1">
      <c r="C61" s="1450"/>
      <c r="D61" s="1448" t="s">
        <v>2984</v>
      </c>
      <c r="E61" s="4825" t="s">
        <v>3122</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4082</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4082</v>
      </c>
      <c r="E72" s="4822" t="s">
        <v>3121</v>
      </c>
      <c r="F72" s="4822"/>
      <c r="G72" s="4822"/>
      <c r="H72" s="4822"/>
    </row>
    <row r="73" spans="1:8" ht="12.75" customHeight="1">
      <c r="C73" s="1450"/>
      <c r="D73" s="1448" t="s">
        <v>2984</v>
      </c>
      <c r="E73" s="4825" t="s">
        <v>3122</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4082</v>
      </c>
      <c r="E77" s="4822" t="s">
        <v>3121</v>
      </c>
      <c r="F77" s="4822"/>
      <c r="G77" s="4822"/>
      <c r="H77" s="4822"/>
    </row>
    <row r="78" spans="1:8" ht="12.75" customHeight="1">
      <c r="C78" s="1450"/>
      <c r="D78" s="1448" t="s">
        <v>2984</v>
      </c>
      <c r="E78" s="4825" t="s">
        <v>3122</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4082</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4082</v>
      </c>
      <c r="E89" s="4822" t="s">
        <v>3121</v>
      </c>
      <c r="F89" s="4822"/>
      <c r="G89" s="4822"/>
      <c r="H89" s="4822"/>
    </row>
    <row r="90" spans="3:8" ht="12.75" customHeight="1">
      <c r="C90" s="1450"/>
      <c r="D90" s="1448" t="s">
        <v>2984</v>
      </c>
      <c r="E90" s="4825" t="s">
        <v>3122</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4082</v>
      </c>
      <c r="E94" s="4822" t="s">
        <v>3121</v>
      </c>
      <c r="F94" s="4822"/>
      <c r="G94" s="4822"/>
      <c r="H94" s="4822"/>
    </row>
    <row r="95" spans="3:8" ht="12.75" customHeight="1">
      <c r="C95" s="1450"/>
      <c r="D95" s="1448" t="s">
        <v>2984</v>
      </c>
      <c r="E95" s="4825" t="s">
        <v>3122</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4080</v>
      </c>
      <c r="D97" s="638" t="s">
        <v>4081</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4085</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4077</v>
      </c>
      <c r="D108" s="638" t="s">
        <v>4078</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4082</v>
      </c>
      <c r="E112" s="4822" t="s">
        <v>3121</v>
      </c>
      <c r="F112" s="4822"/>
      <c r="G112" s="4822"/>
      <c r="H112" s="4822"/>
    </row>
    <row r="113" spans="1:8" ht="12.75" customHeight="1">
      <c r="C113" s="1450"/>
      <c r="D113" s="1448" t="s">
        <v>2984</v>
      </c>
      <c r="E113" s="4825" t="s">
        <v>3122</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4082</v>
      </c>
      <c r="E117" s="4822" t="s">
        <v>3121</v>
      </c>
      <c r="F117" s="4822"/>
      <c r="G117" s="4822"/>
      <c r="H117" s="4822"/>
    </row>
    <row r="118" spans="1:8" ht="12.75" customHeight="1">
      <c r="C118" s="1450"/>
      <c r="D118" s="1448" t="s">
        <v>2984</v>
      </c>
      <c r="E118" s="4825" t="s">
        <v>3122</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4082</v>
      </c>
      <c r="E122" s="4822" t="s">
        <v>3121</v>
      </c>
      <c r="F122" s="4822"/>
      <c r="G122" s="4822"/>
      <c r="H122" s="4822"/>
    </row>
    <row r="123" spans="1:8" ht="12.75" customHeight="1">
      <c r="C123" s="1450"/>
      <c r="D123" s="1448" t="s">
        <v>2984</v>
      </c>
      <c r="E123" s="4825" t="s">
        <v>3122</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4082</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4082</v>
      </c>
      <c r="E134" s="4822" t="s">
        <v>3121</v>
      </c>
      <c r="F134" s="4822"/>
      <c r="G134" s="4822"/>
      <c r="H134" s="4822"/>
    </row>
    <row r="135" spans="1:8" ht="12.75" customHeight="1">
      <c r="C135" s="1450"/>
      <c r="D135" s="1448" t="s">
        <v>2984</v>
      </c>
      <c r="E135" s="4825" t="s">
        <v>3122</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4082</v>
      </c>
      <c r="E139" s="4822" t="s">
        <v>3121</v>
      </c>
      <c r="F139" s="4822"/>
      <c r="G139" s="4822"/>
      <c r="H139" s="4822"/>
    </row>
    <row r="140" spans="1:8" ht="12.75" customHeight="1">
      <c r="C140" s="1450"/>
      <c r="D140" s="1448" t="s">
        <v>2984</v>
      </c>
      <c r="E140" s="4825" t="s">
        <v>3122</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4082</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4082</v>
      </c>
      <c r="E151" s="4822" t="s">
        <v>3121</v>
      </c>
      <c r="F151" s="4822"/>
      <c r="G151" s="4822"/>
      <c r="H151" s="4822"/>
    </row>
    <row r="152" spans="1:8" ht="12.75" customHeight="1">
      <c r="C152" s="1450"/>
      <c r="D152" s="1448" t="s">
        <v>2984</v>
      </c>
      <c r="E152" s="4825" t="s">
        <v>3122</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4082</v>
      </c>
      <c r="E156" s="4822" t="s">
        <v>3121</v>
      </c>
      <c r="F156" s="4822"/>
      <c r="G156" s="4822"/>
      <c r="H156" s="4822"/>
    </row>
    <row r="157" spans="1:8" ht="12.75" customHeight="1">
      <c r="C157" s="1450"/>
      <c r="D157" s="1448" t="s">
        <v>2984</v>
      </c>
      <c r="E157" s="4825" t="s">
        <v>3122</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4082</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4082</v>
      </c>
      <c r="E168" s="4822" t="s">
        <v>3121</v>
      </c>
      <c r="F168" s="4822"/>
      <c r="G168" s="4822"/>
      <c r="H168" s="4822"/>
    </row>
    <row r="169" spans="1:8" ht="12.75" customHeight="1">
      <c r="C169" s="1450"/>
      <c r="D169" s="1448" t="s">
        <v>2984</v>
      </c>
      <c r="E169" s="4825" t="s">
        <v>3122</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4082</v>
      </c>
      <c r="E173" s="4822" t="s">
        <v>3121</v>
      </c>
      <c r="F173" s="4822"/>
      <c r="G173" s="4822"/>
      <c r="H173" s="4822"/>
    </row>
    <row r="174" spans="1:8" ht="12.75" customHeight="1">
      <c r="C174" s="1450"/>
      <c r="D174" s="1448" t="s">
        <v>2984</v>
      </c>
      <c r="E174" s="4825" t="s">
        <v>3122</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4080</v>
      </c>
      <c r="D176" s="638" t="s">
        <v>4081</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4086</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4077</v>
      </c>
      <c r="D187" s="638" t="s">
        <v>4078</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4082</v>
      </c>
      <c r="E191" s="4822" t="s">
        <v>3121</v>
      </c>
      <c r="F191" s="4822"/>
      <c r="G191" s="4822"/>
      <c r="H191" s="4822"/>
    </row>
    <row r="192" spans="1:11" ht="12.75" customHeight="1">
      <c r="C192" s="1450"/>
      <c r="D192" s="1448" t="s">
        <v>2984</v>
      </c>
      <c r="E192" s="4825" t="s">
        <v>3122</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4082</v>
      </c>
      <c r="E196" s="4822" t="s">
        <v>3121</v>
      </c>
      <c r="F196" s="4822"/>
      <c r="G196" s="4822"/>
      <c r="H196" s="4822"/>
    </row>
    <row r="197" spans="1:8" ht="12.75" customHeight="1">
      <c r="C197" s="1450"/>
      <c r="D197" s="1448" t="s">
        <v>2984</v>
      </c>
      <c r="E197" s="4825" t="s">
        <v>3122</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4082</v>
      </c>
      <c r="E201" s="4822" t="s">
        <v>3121</v>
      </c>
      <c r="F201" s="4822"/>
      <c r="G201" s="4822"/>
      <c r="H201" s="4822"/>
    </row>
    <row r="202" spans="1:8" ht="12.75" customHeight="1">
      <c r="C202" s="1450"/>
      <c r="D202" s="1448" t="s">
        <v>2984</v>
      </c>
      <c r="E202" s="4825" t="s">
        <v>3122</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4082</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4082</v>
      </c>
      <c r="E213" s="4822" t="s">
        <v>3121</v>
      </c>
      <c r="F213" s="4822"/>
      <c r="G213" s="4822"/>
      <c r="H213" s="4822"/>
    </row>
    <row r="214" spans="1:8" ht="12.75" customHeight="1">
      <c r="C214" s="1450"/>
      <c r="D214" s="1448" t="s">
        <v>2984</v>
      </c>
      <c r="E214" s="4825" t="s">
        <v>3122</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4082</v>
      </c>
      <c r="E218" s="4822" t="s">
        <v>3121</v>
      </c>
      <c r="F218" s="4822"/>
      <c r="G218" s="4822"/>
      <c r="H218" s="4822"/>
    </row>
    <row r="219" spans="1:8" ht="12.75" customHeight="1">
      <c r="C219" s="1450"/>
      <c r="D219" s="1448" t="s">
        <v>2984</v>
      </c>
      <c r="E219" s="4825" t="s">
        <v>3122</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4082</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4082</v>
      </c>
      <c r="E230" s="4822" t="s">
        <v>3121</v>
      </c>
      <c r="F230" s="4822"/>
      <c r="G230" s="4822"/>
      <c r="H230" s="4822"/>
    </row>
    <row r="231" spans="1:8" ht="12.75" customHeight="1">
      <c r="C231" s="1450"/>
      <c r="D231" s="1448" t="s">
        <v>2984</v>
      </c>
      <c r="E231" s="4825" t="s">
        <v>3122</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4082</v>
      </c>
      <c r="E235" s="4822" t="s">
        <v>3121</v>
      </c>
      <c r="F235" s="4822"/>
      <c r="G235" s="4822"/>
      <c r="H235" s="4822"/>
    </row>
    <row r="236" spans="1:8" ht="12.75" customHeight="1">
      <c r="C236" s="1450"/>
      <c r="D236" s="1448" t="s">
        <v>2984</v>
      </c>
      <c r="E236" s="4825" t="s">
        <v>3122</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4082</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4082</v>
      </c>
      <c r="E247" s="4822" t="s">
        <v>3121</v>
      </c>
      <c r="F247" s="4822"/>
      <c r="G247" s="4822"/>
      <c r="H247" s="4822"/>
    </row>
    <row r="248" spans="1:8" ht="12.75" customHeight="1">
      <c r="C248" s="1450"/>
      <c r="D248" s="1448" t="s">
        <v>2984</v>
      </c>
      <c r="E248" s="4825" t="s">
        <v>3122</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4082</v>
      </c>
      <c r="E252" s="4822" t="s">
        <v>3121</v>
      </c>
      <c r="F252" s="4822"/>
      <c r="G252" s="4822"/>
      <c r="H252" s="4822"/>
    </row>
    <row r="253" spans="1:8" ht="12.75" customHeight="1">
      <c r="C253" s="1450"/>
      <c r="D253" s="1448" t="s">
        <v>2984</v>
      </c>
      <c r="E253" s="4825" t="s">
        <v>3122</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4080</v>
      </c>
      <c r="D255" s="638" t="s">
        <v>4081</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4083</v>
      </c>
      <c r="B264" s="4822"/>
      <c r="C264" s="4822"/>
      <c r="D264" s="4822"/>
      <c r="E264" s="4822"/>
      <c r="F264" s="4822"/>
      <c r="G264" s="4822"/>
      <c r="H264" s="4822"/>
    </row>
    <row r="265" spans="1:11" ht="9" customHeight="1">
      <c r="A265" s="611"/>
    </row>
    <row r="266" spans="1:11">
      <c r="A266" s="620" t="s">
        <v>2980</v>
      </c>
      <c r="B266" s="637">
        <f>IF('Part V-Revenues &amp; Expenses'!$K$59=0,"",'Part V-Revenues &amp; Expenses'!$K$59)</f>
        <v>7</v>
      </c>
      <c r="C266" s="620" t="s">
        <v>4077</v>
      </c>
      <c r="D266" s="638" t="s">
        <v>4078</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4082</v>
      </c>
      <c r="E270" s="4822" t="s">
        <v>3121</v>
      </c>
      <c r="F270" s="4822"/>
      <c r="G270" s="4822"/>
      <c r="H270" s="4822"/>
    </row>
    <row r="271" spans="1:11" ht="12.75" customHeight="1">
      <c r="C271" s="1450"/>
      <c r="D271" s="1448" t="s">
        <v>2984</v>
      </c>
      <c r="E271" s="4825" t="s">
        <v>3122</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4082</v>
      </c>
      <c r="E275" s="4822" t="s">
        <v>3121</v>
      </c>
      <c r="F275" s="4822"/>
      <c r="G275" s="4822"/>
      <c r="H275" s="4822"/>
    </row>
    <row r="276" spans="1:8" ht="12.75" customHeight="1">
      <c r="C276" s="1450"/>
      <c r="D276" s="1448" t="s">
        <v>2984</v>
      </c>
      <c r="E276" s="4825" t="s">
        <v>3122</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4082</v>
      </c>
      <c r="E280" s="4822" t="s">
        <v>3121</v>
      </c>
      <c r="F280" s="4822"/>
      <c r="G280" s="4822"/>
      <c r="H280" s="4822"/>
    </row>
    <row r="281" spans="1:8" ht="12.75" customHeight="1">
      <c r="C281" s="1450"/>
      <c r="D281" s="1448" t="s">
        <v>2984</v>
      </c>
      <c r="E281" s="4825" t="s">
        <v>3122</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6</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4082</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4082</v>
      </c>
      <c r="E292" s="4822" t="s">
        <v>3121</v>
      </c>
      <c r="F292" s="4822"/>
      <c r="G292" s="4822"/>
      <c r="H292" s="4822"/>
    </row>
    <row r="293" spans="1:8" ht="12.75" customHeight="1">
      <c r="C293" s="1450"/>
      <c r="D293" s="1448" t="s">
        <v>2984</v>
      </c>
      <c r="E293" s="4825" t="s">
        <v>3122</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4082</v>
      </c>
      <c r="E297" s="4822" t="s">
        <v>3121</v>
      </c>
      <c r="F297" s="4822"/>
      <c r="G297" s="4822"/>
      <c r="H297" s="4822"/>
    </row>
    <row r="298" spans="1:8" ht="12.75" customHeight="1">
      <c r="C298" s="1450"/>
      <c r="D298" s="1448" t="s">
        <v>2984</v>
      </c>
      <c r="E298" s="4825" t="s">
        <v>3122</v>
      </c>
      <c r="F298" s="4825"/>
      <c r="G298" s="4825"/>
      <c r="H298" s="4825"/>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4082</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4082</v>
      </c>
      <c r="E309" s="4822" t="s">
        <v>3121</v>
      </c>
      <c r="F309" s="4822"/>
      <c r="G309" s="4822"/>
      <c r="H309" s="4822"/>
    </row>
    <row r="310" spans="1:8" ht="12.75" customHeight="1">
      <c r="C310" s="1450"/>
      <c r="D310" s="1448" t="s">
        <v>2984</v>
      </c>
      <c r="E310" s="4825" t="s">
        <v>3122</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4082</v>
      </c>
      <c r="E314" s="4822" t="s">
        <v>3121</v>
      </c>
      <c r="F314" s="4822"/>
      <c r="G314" s="4822"/>
      <c r="H314" s="4822"/>
    </row>
    <row r="315" spans="1:8" ht="12.75" customHeight="1">
      <c r="C315" s="1450"/>
      <c r="D315" s="1448" t="s">
        <v>2984</v>
      </c>
      <c r="E315" s="4825" t="s">
        <v>3122</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4082</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4082</v>
      </c>
      <c r="E326" s="4822" t="s">
        <v>3121</v>
      </c>
      <c r="F326" s="4822"/>
      <c r="G326" s="4822"/>
      <c r="H326" s="4822"/>
    </row>
    <row r="327" spans="1:11" ht="12.75" customHeight="1">
      <c r="C327" s="1450"/>
      <c r="D327" s="1448" t="s">
        <v>2984</v>
      </c>
      <c r="E327" s="4825" t="s">
        <v>3122</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4082</v>
      </c>
      <c r="E331" s="4822" t="s">
        <v>3121</v>
      </c>
      <c r="F331" s="4822"/>
      <c r="G331" s="4822"/>
      <c r="H331" s="4822"/>
    </row>
    <row r="332" spans="1:11" ht="12.75" customHeight="1">
      <c r="C332" s="1450"/>
      <c r="D332" s="1448" t="s">
        <v>2984</v>
      </c>
      <c r="E332" s="4825" t="s">
        <v>3122</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4080</v>
      </c>
      <c r="D334" s="638" t="s">
        <v>4081</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4087</v>
      </c>
      <c r="B344" s="4822"/>
      <c r="C344" s="4822"/>
      <c r="D344" s="4822"/>
      <c r="E344" s="4822"/>
      <c r="F344" s="4822"/>
      <c r="G344" s="4822"/>
      <c r="H344" s="4822"/>
    </row>
    <row r="345" spans="1:8" ht="9" customHeight="1">
      <c r="A345" s="611"/>
    </row>
    <row r="346" spans="1:8">
      <c r="A346" s="620" t="s">
        <v>2980</v>
      </c>
      <c r="B346" s="637">
        <f>IF('Part V-Revenues &amp; Expenses'!$K$58=0,"",'Part V-Revenues &amp; Expenses'!$K$58)</f>
        <v>22</v>
      </c>
      <c r="C346" s="620" t="s">
        <v>4077</v>
      </c>
      <c r="D346" s="638" t="s">
        <v>4078</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4082</v>
      </c>
      <c r="E350" s="4822" t="s">
        <v>3121</v>
      </c>
      <c r="F350" s="4822"/>
      <c r="G350" s="4822"/>
      <c r="H350" s="4822"/>
    </row>
    <row r="351" spans="1:8" ht="12.75" customHeight="1">
      <c r="C351" s="1450"/>
      <c r="D351" s="1448" t="s">
        <v>2984</v>
      </c>
      <c r="E351" s="4825" t="s">
        <v>3122</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4082</v>
      </c>
      <c r="E355" s="4822" t="s">
        <v>3121</v>
      </c>
      <c r="F355" s="4822"/>
      <c r="G355" s="4822"/>
      <c r="H355" s="4822"/>
    </row>
    <row r="356" spans="1:8" ht="12.75" customHeight="1">
      <c r="C356" s="1450"/>
      <c r="D356" s="1448" t="s">
        <v>2984</v>
      </c>
      <c r="E356" s="4825" t="s">
        <v>3122</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4082</v>
      </c>
      <c r="E360" s="4822" t="s">
        <v>3121</v>
      </c>
      <c r="F360" s="4822"/>
      <c r="G360" s="4822"/>
      <c r="H360" s="4822"/>
    </row>
    <row r="361" spans="1:8" ht="12.75" customHeight="1">
      <c r="C361" s="1450"/>
      <c r="D361" s="1448" t="s">
        <v>2984</v>
      </c>
      <c r="E361" s="4825" t="s">
        <v>3122</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21</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4082</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4082</v>
      </c>
      <c r="E372" s="4822" t="s">
        <v>3121</v>
      </c>
      <c r="F372" s="4822"/>
      <c r="G372" s="4822"/>
      <c r="H372" s="4822"/>
    </row>
    <row r="373" spans="1:8" ht="12.75" customHeight="1">
      <c r="C373" s="1450"/>
      <c r="D373" s="1448" t="s">
        <v>2984</v>
      </c>
      <c r="E373" s="4825" t="s">
        <v>3122</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4082</v>
      </c>
      <c r="E377" s="4822" t="s">
        <v>3121</v>
      </c>
      <c r="F377" s="4822"/>
      <c r="G377" s="4822"/>
      <c r="H377" s="4822"/>
    </row>
    <row r="378" spans="1:8" ht="12.75" customHeight="1">
      <c r="C378" s="1450"/>
      <c r="D378" s="1448" t="s">
        <v>2984</v>
      </c>
      <c r="E378" s="4825" t="s">
        <v>3122</v>
      </c>
      <c r="F378" s="4825"/>
      <c r="G378" s="4825"/>
      <c r="H378" s="4825"/>
    </row>
    <row r="379" spans="1:8" ht="6" customHeight="1">
      <c r="D379" s="639"/>
      <c r="E379" s="1025"/>
      <c r="F379" s="1025"/>
      <c r="G379" s="1025"/>
      <c r="H379" s="1025"/>
    </row>
    <row r="380" spans="1:8">
      <c r="A380" s="620" t="s">
        <v>2980</v>
      </c>
      <c r="B380" s="637" t="str">
        <f>IF('Part V-Revenues &amp; Expenses'!$M$58=0,"",'Part V-Revenues &amp; Expenses'!$M$58)</f>
        <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4082</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4082</v>
      </c>
      <c r="E389" s="4822" t="s">
        <v>3121</v>
      </c>
      <c r="F389" s="4822"/>
      <c r="G389" s="4822"/>
      <c r="H389" s="4822"/>
    </row>
    <row r="390" spans="1:8" ht="12.75" customHeight="1">
      <c r="C390" s="1450"/>
      <c r="D390" s="1448" t="s">
        <v>2984</v>
      </c>
      <c r="E390" s="4825" t="s">
        <v>3122</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4082</v>
      </c>
      <c r="E394" s="4822" t="s">
        <v>3121</v>
      </c>
      <c r="F394" s="4822"/>
      <c r="G394" s="4822"/>
      <c r="H394" s="4822"/>
    </row>
    <row r="395" spans="1:8" ht="12.75" customHeight="1">
      <c r="C395" s="1450"/>
      <c r="D395" s="1448" t="s">
        <v>2984</v>
      </c>
      <c r="E395" s="4825" t="s">
        <v>3122</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4082</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4082</v>
      </c>
      <c r="E406" s="4822" t="s">
        <v>3121</v>
      </c>
      <c r="F406" s="4822"/>
      <c r="G406" s="4822"/>
      <c r="H406" s="4822"/>
    </row>
    <row r="407" spans="1:11" ht="12.75" customHeight="1">
      <c r="C407" s="1450"/>
      <c r="D407" s="1448" t="s">
        <v>2984</v>
      </c>
      <c r="E407" s="4825" t="s">
        <v>3122</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4082</v>
      </c>
      <c r="E411" s="4822" t="s">
        <v>3121</v>
      </c>
      <c r="F411" s="4822"/>
      <c r="G411" s="4822"/>
      <c r="H411" s="4822"/>
    </row>
    <row r="412" spans="1:11" ht="12.75" customHeight="1">
      <c r="C412" s="1450"/>
      <c r="D412" s="1448" t="s">
        <v>2984</v>
      </c>
      <c r="E412" s="4825" t="s">
        <v>3122</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4080</v>
      </c>
      <c r="D414" s="638" t="s">
        <v>4081</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4088</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4077</v>
      </c>
      <c r="D425" s="638" t="s">
        <v>4078</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4082</v>
      </c>
      <c r="E429" s="4822" t="s">
        <v>3121</v>
      </c>
      <c r="F429" s="4822"/>
      <c r="G429" s="4822"/>
      <c r="H429" s="4822"/>
    </row>
    <row r="430" spans="1:8" ht="12.75" customHeight="1">
      <c r="C430" s="1450"/>
      <c r="D430" s="1448" t="s">
        <v>2984</v>
      </c>
      <c r="E430" s="4825" t="s">
        <v>3122</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4082</v>
      </c>
      <c r="E434" s="4822" t="s">
        <v>3121</v>
      </c>
      <c r="F434" s="4822"/>
      <c r="G434" s="4822"/>
      <c r="H434" s="4822"/>
    </row>
    <row r="435" spans="1:8" ht="12.75" customHeight="1">
      <c r="C435" s="1450"/>
      <c r="D435" s="1448" t="s">
        <v>2984</v>
      </c>
      <c r="E435" s="4825" t="s">
        <v>3122</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4082</v>
      </c>
      <c r="E439" s="4822" t="s">
        <v>3121</v>
      </c>
      <c r="F439" s="4822"/>
      <c r="G439" s="4822"/>
      <c r="H439" s="4822"/>
    </row>
    <row r="440" spans="1:8" ht="12.75" customHeight="1">
      <c r="C440" s="1450"/>
      <c r="D440" s="1448" t="s">
        <v>2984</v>
      </c>
      <c r="E440" s="4825" t="s">
        <v>3122</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4082</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4082</v>
      </c>
      <c r="E451" s="4822" t="s">
        <v>3121</v>
      </c>
      <c r="F451" s="4822"/>
      <c r="G451" s="4822"/>
      <c r="H451" s="4822"/>
    </row>
    <row r="452" spans="1:8" ht="12.75" customHeight="1">
      <c r="C452" s="1450"/>
      <c r="D452" s="1448" t="s">
        <v>2984</v>
      </c>
      <c r="E452" s="4825" t="s">
        <v>3122</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4082</v>
      </c>
      <c r="E456" s="4822" t="s">
        <v>3121</v>
      </c>
      <c r="F456" s="4822"/>
      <c r="G456" s="4822"/>
      <c r="H456" s="4822"/>
    </row>
    <row r="457" spans="1:8" ht="12.75" customHeight="1">
      <c r="C457" s="1450"/>
      <c r="D457" s="1448" t="s">
        <v>2984</v>
      </c>
      <c r="E457" s="4825" t="s">
        <v>3122</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4082</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4082</v>
      </c>
      <c r="E468" s="4822" t="s">
        <v>3121</v>
      </c>
      <c r="F468" s="4822"/>
      <c r="G468" s="4822"/>
      <c r="H468" s="4822"/>
    </row>
    <row r="469" spans="1:8" ht="12.75" customHeight="1">
      <c r="C469" s="1450"/>
      <c r="D469" s="1448" t="s">
        <v>2984</v>
      </c>
      <c r="E469" s="4825" t="s">
        <v>3122</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4082</v>
      </c>
      <c r="E473" s="4822" t="s">
        <v>3121</v>
      </c>
      <c r="F473" s="4822"/>
      <c r="G473" s="4822"/>
      <c r="H473" s="4822"/>
    </row>
    <row r="474" spans="1:8" ht="12.75" customHeight="1">
      <c r="C474" s="1450"/>
      <c r="D474" s="1448" t="s">
        <v>2984</v>
      </c>
      <c r="E474" s="4825" t="s">
        <v>3122</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4082</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4082</v>
      </c>
      <c r="E485" s="4822" t="s">
        <v>3121</v>
      </c>
      <c r="F485" s="4822"/>
      <c r="G485" s="4822"/>
      <c r="H485" s="4822"/>
    </row>
    <row r="486" spans="1:11" ht="12.75" customHeight="1">
      <c r="C486" s="1450"/>
      <c r="D486" s="1448" t="s">
        <v>2984</v>
      </c>
      <c r="E486" s="4825" t="s">
        <v>3122</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4082</v>
      </c>
      <c r="E490" s="4822" t="s">
        <v>3121</v>
      </c>
      <c r="F490" s="4822"/>
      <c r="G490" s="4822"/>
      <c r="H490" s="4822"/>
    </row>
    <row r="491" spans="1:11" ht="12.75" customHeight="1">
      <c r="C491" s="1450"/>
      <c r="D491" s="1448" t="s">
        <v>2984</v>
      </c>
      <c r="E491" s="4825" t="s">
        <v>3122</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4080</v>
      </c>
      <c r="D493" s="638" t="s">
        <v>4081</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4089</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4077</v>
      </c>
      <c r="D504" s="638" t="s">
        <v>4078</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4082</v>
      </c>
      <c r="E508" s="4822" t="s">
        <v>3121</v>
      </c>
      <c r="F508" s="4822"/>
      <c r="G508" s="4822"/>
      <c r="H508" s="4822"/>
    </row>
    <row r="509" spans="1:8" ht="12.75" customHeight="1">
      <c r="C509" s="1450"/>
      <c r="D509" s="1448" t="s">
        <v>2984</v>
      </c>
      <c r="E509" s="4825" t="s">
        <v>3122</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4082</v>
      </c>
      <c r="E513" s="4822" t="s">
        <v>3121</v>
      </c>
      <c r="F513" s="4822"/>
      <c r="G513" s="4822"/>
      <c r="H513" s="4822"/>
    </row>
    <row r="514" spans="1:8" ht="12.75" customHeight="1">
      <c r="C514" s="1450"/>
      <c r="D514" s="1448" t="s">
        <v>2984</v>
      </c>
      <c r="E514" s="4825" t="s">
        <v>3122</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4082</v>
      </c>
      <c r="E518" s="4822" t="s">
        <v>3121</v>
      </c>
      <c r="F518" s="4822"/>
      <c r="G518" s="4822"/>
      <c r="H518" s="4822"/>
    </row>
    <row r="519" spans="1:8" ht="12.75" customHeight="1">
      <c r="C519" s="1450"/>
      <c r="D519" s="1448" t="s">
        <v>2984</v>
      </c>
      <c r="E519" s="4825" t="s">
        <v>3122</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4082</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4082</v>
      </c>
      <c r="E530" s="4822" t="s">
        <v>3121</v>
      </c>
      <c r="F530" s="4822"/>
      <c r="G530" s="4822"/>
      <c r="H530" s="4822"/>
    </row>
    <row r="531" spans="1:8" ht="12.75" customHeight="1">
      <c r="C531" s="1450"/>
      <c r="D531" s="1448" t="s">
        <v>2984</v>
      </c>
      <c r="E531" s="4825" t="s">
        <v>3122</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4082</v>
      </c>
      <c r="E535" s="4822" t="s">
        <v>3121</v>
      </c>
      <c r="F535" s="4822"/>
      <c r="G535" s="4822"/>
      <c r="H535" s="4822"/>
    </row>
    <row r="536" spans="1:8" ht="12.75" customHeight="1">
      <c r="C536" s="1450"/>
      <c r="D536" s="1448" t="s">
        <v>2984</v>
      </c>
      <c r="E536" s="4825" t="s">
        <v>3122</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4082</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4082</v>
      </c>
      <c r="E547" s="4822" t="s">
        <v>3121</v>
      </c>
      <c r="F547" s="4822"/>
      <c r="G547" s="4822"/>
      <c r="H547" s="4822"/>
    </row>
    <row r="548" spans="1:8" ht="12.75" customHeight="1">
      <c r="C548" s="1450"/>
      <c r="D548" s="1448" t="s">
        <v>2984</v>
      </c>
      <c r="E548" s="4825" t="s">
        <v>3122</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4082</v>
      </c>
      <c r="E552" s="4822" t="s">
        <v>3121</v>
      </c>
      <c r="F552" s="4822"/>
      <c r="G552" s="4822"/>
      <c r="H552" s="4822"/>
    </row>
    <row r="553" spans="1:8" ht="12.75" customHeight="1">
      <c r="C553" s="1450"/>
      <c r="D553" s="1448" t="s">
        <v>2984</v>
      </c>
      <c r="E553" s="4825" t="s">
        <v>3122</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4082</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4082</v>
      </c>
      <c r="E564" s="4822" t="s">
        <v>3121</v>
      </c>
      <c r="F564" s="4822"/>
      <c r="G564" s="4822"/>
      <c r="H564" s="4822"/>
    </row>
    <row r="565" spans="1:11" ht="12.75" customHeight="1">
      <c r="C565" s="1450"/>
      <c r="D565" s="1448" t="s">
        <v>2984</v>
      </c>
      <c r="E565" s="4825" t="s">
        <v>3122</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4082</v>
      </c>
      <c r="E569" s="4822" t="s">
        <v>3121</v>
      </c>
      <c r="F569" s="4822"/>
      <c r="G569" s="4822"/>
      <c r="H569" s="4822"/>
    </row>
    <row r="570" spans="1:11" ht="12.75" customHeight="1">
      <c r="C570" s="1450"/>
      <c r="D570" s="1448" t="s">
        <v>2984</v>
      </c>
      <c r="E570" s="4825" t="s">
        <v>3122</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4080</v>
      </c>
      <c r="D572" s="638" t="s">
        <v>4081</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Freedom's Path Augusta III, Augusta, Richmond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3459</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3460</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3459</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3460</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3460</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3460</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3459</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3460</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3460</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3459</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3460</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3459</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3460</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3460</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3460</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3460</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3459</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3460</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3460</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3460</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3460</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3460</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3460</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6467</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6221</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6221</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6221</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6221</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6221</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6221</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6465</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6221</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6466</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6221</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3879</v>
      </c>
      <c r="H152" s="480"/>
      <c r="I152" s="480"/>
      <c r="J152" s="480"/>
      <c r="K152" s="480"/>
      <c r="L152" s="480"/>
      <c r="M152" s="480"/>
      <c r="N152" s="480"/>
      <c r="O152" s="480"/>
      <c r="P152" s="480"/>
      <c r="Q152" s="480"/>
      <c r="R152" s="480"/>
      <c r="S152" s="480"/>
      <c r="Z152" s="1706">
        <v>152</v>
      </c>
    </row>
    <row r="153" spans="1:26" ht="13.5" thickBot="1">
      <c r="A153" s="3180" t="s">
        <v>3295</v>
      </c>
      <c r="B153" s="3180"/>
      <c r="C153" s="3180"/>
      <c r="D153" s="3180"/>
      <c r="E153" s="3180"/>
      <c r="H153" s="1263" t="s">
        <v>2308</v>
      </c>
      <c r="I153" s="3174" t="s">
        <v>6515</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3837</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6219</v>
      </c>
      <c r="E155" s="256"/>
      <c r="H155" s="1216" t="s">
        <v>3837</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3837</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3837</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3837</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3837</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3837</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3888</v>
      </c>
      <c r="E161" s="256"/>
      <c r="H161" s="1216" t="s">
        <v>3837</v>
      </c>
      <c r="I161" s="3076"/>
      <c r="J161" s="3077"/>
      <c r="K161" s="3077"/>
      <c r="L161" s="3077"/>
      <c r="M161" s="3077"/>
      <c r="N161" s="3077"/>
      <c r="O161" s="3077"/>
      <c r="P161" s="3077"/>
      <c r="Q161" s="3077"/>
      <c r="R161" s="3077"/>
      <c r="S161" s="3078"/>
      <c r="Z161" s="1706">
        <v>161</v>
      </c>
    </row>
    <row r="162" spans="1:26" s="144" customFormat="1" ht="15" customHeight="1" thickBot="1">
      <c r="B162" s="476" t="s">
        <v>3887</v>
      </c>
      <c r="C162" s="3177" t="s">
        <v>6472</v>
      </c>
      <c r="D162" s="3178"/>
      <c r="E162" s="3178"/>
      <c r="F162" s="3178"/>
      <c r="G162" s="3179"/>
      <c r="H162" s="1216" t="s">
        <v>3837</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3880</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6473</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3837</v>
      </c>
      <c r="J171" s="477" t="s">
        <v>3837</v>
      </c>
      <c r="K171" s="477"/>
      <c r="L171" s="649"/>
      <c r="M171" s="482" t="s">
        <v>3837</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3837</v>
      </c>
      <c r="J172" s="478" t="s">
        <v>3837</v>
      </c>
      <c r="K172" s="478"/>
      <c r="L172" s="650"/>
      <c r="M172" s="483" t="s">
        <v>3837</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3837</v>
      </c>
      <c r="J173" s="478" t="s">
        <v>3837</v>
      </c>
      <c r="K173" s="478"/>
      <c r="L173" s="650"/>
      <c r="M173" s="483" t="s">
        <v>3837</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3837</v>
      </c>
      <c r="J174" s="478" t="s">
        <v>3837</v>
      </c>
      <c r="K174" s="478"/>
      <c r="L174" s="650"/>
      <c r="M174" s="483" t="s">
        <v>3837</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3837</v>
      </c>
      <c r="J175" s="478" t="s">
        <v>3837</v>
      </c>
      <c r="K175" s="478"/>
      <c r="L175" s="650"/>
      <c r="M175" s="483" t="s">
        <v>3837</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3837</v>
      </c>
      <c r="J176" s="478" t="s">
        <v>3837</v>
      </c>
      <c r="K176" s="478"/>
      <c r="L176" s="650"/>
      <c r="M176" s="483" t="s">
        <v>3837</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3837</v>
      </c>
      <c r="J177" s="478" t="s">
        <v>3837</v>
      </c>
      <c r="K177" s="478"/>
      <c r="L177" s="650"/>
      <c r="M177" s="483" t="s">
        <v>3837</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3837</v>
      </c>
      <c r="J178" s="478" t="s">
        <v>3837</v>
      </c>
      <c r="K178" s="478"/>
      <c r="L178" s="650"/>
      <c r="M178" s="483" t="s">
        <v>3837</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3837</v>
      </c>
      <c r="J179" s="478" t="s">
        <v>3837</v>
      </c>
      <c r="K179" s="478"/>
      <c r="L179" s="650"/>
      <c r="M179" s="483" t="s">
        <v>3837</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3837</v>
      </c>
      <c r="J180" s="478" t="s">
        <v>3837</v>
      </c>
      <c r="K180" s="478"/>
      <c r="L180" s="650"/>
      <c r="M180" s="483" t="s">
        <v>3837</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3837</v>
      </c>
      <c r="J181" s="478" t="s">
        <v>3837</v>
      </c>
      <c r="K181" s="478"/>
      <c r="L181" s="650"/>
      <c r="M181" s="483" t="s">
        <v>3837</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3837</v>
      </c>
      <c r="J182" s="478" t="s">
        <v>3837</v>
      </c>
      <c r="K182" s="478"/>
      <c r="L182" s="650"/>
      <c r="M182" s="483" t="s">
        <v>3837</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3837</v>
      </c>
      <c r="J183" s="479" t="s">
        <v>3837</v>
      </c>
      <c r="K183" s="479"/>
      <c r="L183" s="651"/>
      <c r="M183" s="484" t="s">
        <v>3837</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Freedom's Path Augusta III</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51943.438800000004</v>
      </c>
      <c r="M4" s="4868"/>
      <c r="N4" s="1493" t="s">
        <v>3662</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17408794</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4079</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3676</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22</v>
      </c>
      <c r="F27" s="1585">
        <f>'Part V-Revenues &amp; Expenses'!L58</f>
        <v>21</v>
      </c>
      <c r="G27" s="1585">
        <f>'Part V-Revenues &amp; Expenses'!M58</f>
        <v>0</v>
      </c>
      <c r="H27" s="1585">
        <f>'Part V-Revenues &amp; Expenses'!N58</f>
        <v>0</v>
      </c>
      <c r="I27" s="1585">
        <f>'Part V-Revenues &amp; Expenses'!O58</f>
        <v>0</v>
      </c>
      <c r="J27" s="1586">
        <f>'Part V-Revenues &amp; Expenses'!P58</f>
        <v>43</v>
      </c>
      <c r="K27" s="432"/>
      <c r="S27" s="432"/>
    </row>
    <row r="28" spans="1:19" ht="15" customHeight="1">
      <c r="C28" s="736" t="s">
        <v>112</v>
      </c>
      <c r="D28" s="439"/>
      <c r="E28" s="1584">
        <f>'Part V-Revenues &amp; Expenses'!K59</f>
        <v>7</v>
      </c>
      <c r="F28" s="1585">
        <f>'Part V-Revenues &amp; Expenses'!L59</f>
        <v>6</v>
      </c>
      <c r="G28" s="1585">
        <f>'Part V-Revenues &amp; Expenses'!M59</f>
        <v>0</v>
      </c>
      <c r="H28" s="1585">
        <f>'Part V-Revenues &amp; Expenses'!N59</f>
        <v>0</v>
      </c>
      <c r="I28" s="1585">
        <f>'Part V-Revenues &amp; Expenses'!O59</f>
        <v>0</v>
      </c>
      <c r="J28" s="1586">
        <f>'Part V-Revenues &amp; Expenses'!P59</f>
        <v>13</v>
      </c>
      <c r="K28" s="432"/>
      <c r="S28" s="432"/>
    </row>
    <row r="29" spans="1:19" ht="13.15" customHeight="1">
      <c r="C29" s="736" t="s">
        <v>3677</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3678</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3679</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29</v>
      </c>
      <c r="F32" s="1579">
        <f>'Part V-Revenues &amp; Expenses'!L63</f>
        <v>27</v>
      </c>
      <c r="G32" s="1579">
        <f>'Part V-Revenues &amp; Expenses'!M63</f>
        <v>0</v>
      </c>
      <c r="H32" s="1579">
        <f>'Part V-Revenues &amp; Expenses'!N63</f>
        <v>0</v>
      </c>
      <c r="I32" s="1579">
        <f>'Part V-Revenues &amp; Expenses'!O63</f>
        <v>0</v>
      </c>
      <c r="J32" s="1588">
        <f>'Part V-Revenues &amp; Expenses'!P63</f>
        <v>56</v>
      </c>
      <c r="K32" s="432"/>
      <c r="S32" s="432"/>
    </row>
    <row r="33" spans="1:12" s="432" customFormat="1" ht="13.15" customHeight="1" thickBot="1">
      <c r="K33" s="1492"/>
    </row>
    <row r="34" spans="1:12" s="432" customFormat="1" ht="14.25" customHeight="1" thickBot="1">
      <c r="A34" s="1492"/>
      <c r="B34" s="4842" t="s">
        <v>6170</v>
      </c>
      <c r="E34" s="4843" t="s">
        <v>6066</v>
      </c>
      <c r="F34" s="4844"/>
      <c r="G34" s="4844"/>
      <c r="H34" s="4844"/>
      <c r="I34" s="4844"/>
      <c r="J34" s="4844"/>
      <c r="K34" s="4844"/>
      <c r="L34" s="4845"/>
    </row>
    <row r="35" spans="1:12" s="432" customFormat="1" ht="14.25" customHeight="1">
      <c r="A35" s="1492"/>
      <c r="B35" s="4842"/>
      <c r="C35" s="4846" t="s">
        <v>6171</v>
      </c>
      <c r="D35" s="4842" t="s">
        <v>6172</v>
      </c>
      <c r="E35" s="4847" t="s">
        <v>6069</v>
      </c>
      <c r="F35" s="4848"/>
      <c r="G35" s="4851" t="s">
        <v>1275</v>
      </c>
      <c r="H35" s="4853" t="s">
        <v>6065</v>
      </c>
      <c r="I35" s="4854"/>
      <c r="J35" s="4854"/>
      <c r="K35" s="4854"/>
      <c r="L35" s="4855"/>
    </row>
    <row r="36" spans="1:12" s="432" customFormat="1" ht="23.25" customHeight="1">
      <c r="A36" s="4846" t="s">
        <v>975</v>
      </c>
      <c r="B36" s="4842"/>
      <c r="C36" s="4846"/>
      <c r="D36" s="4842"/>
      <c r="E36" s="4849"/>
      <c r="F36" s="4850"/>
      <c r="G36" s="4852"/>
      <c r="H36" s="4856" t="s">
        <v>6067</v>
      </c>
      <c r="I36" s="4857"/>
      <c r="J36" s="4860" t="s">
        <v>1275</v>
      </c>
      <c r="K36" s="4857" t="s">
        <v>6068</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50</v>
      </c>
      <c r="B39" s="1572">
        <f>'Part V-Revenues &amp; Expenses'!E18</f>
        <v>1</v>
      </c>
      <c r="C39" s="1573" t="e">
        <f ca="1">_xlfn.CONCAT('Part V-Revenues &amp; Expenses'!C18," / ",'Part V-Revenues &amp; Expenses'!D18)</f>
        <v>#NAME?</v>
      </c>
      <c r="D39" s="1572">
        <f>'Part V-Revenues &amp; Expenses'!F18</f>
        <v>395</v>
      </c>
      <c r="E39" s="4866">
        <f>'Part V-Revenues &amp; Expenses'!H18</f>
        <v>575</v>
      </c>
      <c r="F39" s="4867"/>
      <c r="G39" s="439"/>
      <c r="H39" s="4836"/>
      <c r="I39" s="4837"/>
      <c r="J39" s="4837"/>
      <c r="K39" s="4837"/>
      <c r="L39" s="4838"/>
    </row>
    <row r="40" spans="1:12" s="432" customFormat="1" ht="13.15" customHeight="1">
      <c r="A40" s="1574">
        <f>'Part V-Revenues &amp; Expenses'!B19</f>
        <v>50</v>
      </c>
      <c r="B40" s="1575">
        <f>'Part V-Revenues &amp; Expenses'!E19</f>
        <v>6</v>
      </c>
      <c r="C40" s="1576" t="e">
        <f ca="1">_xlfn.CONCAT('Part V-Revenues &amp; Expenses'!C19," / ",'Part V-Revenues &amp; Expenses'!D19)</f>
        <v>#NAME?</v>
      </c>
      <c r="D40" s="1575">
        <f>'Part V-Revenues &amp; Expenses'!F19</f>
        <v>491</v>
      </c>
      <c r="E40" s="4834">
        <f>'Part V-Revenues &amp; Expenses'!H19</f>
        <v>648</v>
      </c>
      <c r="F40" s="4835"/>
      <c r="G40" s="439"/>
      <c r="H40" s="4831"/>
      <c r="I40" s="4832"/>
      <c r="J40" s="4832"/>
      <c r="K40" s="4832"/>
      <c r="L40" s="4833"/>
    </row>
    <row r="41" spans="1:12" s="432" customFormat="1" ht="13.15" customHeight="1">
      <c r="A41" s="1574">
        <f>'Part V-Revenues &amp; Expenses'!B20</f>
        <v>50</v>
      </c>
      <c r="B41" s="1575">
        <f>'Part V-Revenues &amp; Expenses'!E20</f>
        <v>6</v>
      </c>
      <c r="C41" s="1576" t="e">
        <f ca="1">_xlfn.CONCAT('Part V-Revenues &amp; Expenses'!C20," / ",'Part V-Revenues &amp; Expenses'!D20)</f>
        <v>#NAME?</v>
      </c>
      <c r="D41" s="1575">
        <f>'Part V-Revenues &amp; Expenses'!F20</f>
        <v>634</v>
      </c>
      <c r="E41" s="4834">
        <f>'Part V-Revenues &amp; Expenses'!H20</f>
        <v>695</v>
      </c>
      <c r="F41" s="4835"/>
      <c r="G41" s="439"/>
      <c r="H41" s="4831"/>
      <c r="I41" s="4832"/>
      <c r="J41" s="4832"/>
      <c r="K41" s="4832"/>
      <c r="L41" s="4833"/>
    </row>
    <row r="42" spans="1:12" s="432" customFormat="1" ht="13.15" customHeight="1">
      <c r="A42" s="1574">
        <f>'Part V-Revenues &amp; Expenses'!B21</f>
        <v>60</v>
      </c>
      <c r="B42" s="1575">
        <f>'Part V-Revenues &amp; Expenses'!E21</f>
        <v>1</v>
      </c>
      <c r="C42" s="1576" t="e">
        <f ca="1">_xlfn.CONCAT('Part V-Revenues &amp; Expenses'!C21," / ",'Part V-Revenues &amp; Expenses'!D21)</f>
        <v>#NAME?</v>
      </c>
      <c r="D42" s="1575">
        <f>'Part V-Revenues &amp; Expenses'!F21</f>
        <v>395</v>
      </c>
      <c r="E42" s="4834">
        <f>'Part V-Revenues &amp; Expenses'!H21</f>
        <v>600</v>
      </c>
      <c r="F42" s="4835"/>
      <c r="G42" s="439"/>
      <c r="H42" s="4831"/>
      <c r="I42" s="4832"/>
      <c r="J42" s="4832"/>
      <c r="K42" s="4832"/>
      <c r="L42" s="4833"/>
    </row>
    <row r="43" spans="1:12" s="432" customFormat="1" ht="13.15" customHeight="1">
      <c r="A43" s="1574">
        <f>'Part V-Revenues &amp; Expenses'!B22</f>
        <v>60</v>
      </c>
      <c r="B43" s="1575">
        <f>'Part V-Revenues &amp; Expenses'!E22</f>
        <v>1</v>
      </c>
      <c r="C43" s="1576" t="e">
        <f ca="1">_xlfn.CONCAT('Part V-Revenues &amp; Expenses'!C22," / ",'Part V-Revenues &amp; Expenses'!D22)</f>
        <v>#NAME?</v>
      </c>
      <c r="D43" s="1575">
        <f>'Part V-Revenues &amp; Expenses'!F22</f>
        <v>395</v>
      </c>
      <c r="E43" s="4834">
        <f>'Part V-Revenues &amp; Expenses'!H22</f>
        <v>675</v>
      </c>
      <c r="F43" s="4835"/>
      <c r="G43" s="439"/>
      <c r="H43" s="4831"/>
      <c r="I43" s="4832"/>
      <c r="J43" s="4832"/>
      <c r="K43" s="4832"/>
      <c r="L43" s="4833"/>
    </row>
    <row r="44" spans="1:12" s="432" customFormat="1" ht="13.15" customHeight="1">
      <c r="A44" s="1574">
        <f>'Part V-Revenues &amp; Expenses'!B23</f>
        <v>60</v>
      </c>
      <c r="B44" s="1575">
        <f>'Part V-Revenues &amp; Expenses'!E23</f>
        <v>5</v>
      </c>
      <c r="C44" s="1576" t="e">
        <f ca="1">_xlfn.CONCAT('Part V-Revenues &amp; Expenses'!C23," / ",'Part V-Revenues &amp; Expenses'!D23)</f>
        <v>#NAME?</v>
      </c>
      <c r="D44" s="1575">
        <f>'Part V-Revenues &amp; Expenses'!F23</f>
        <v>491</v>
      </c>
      <c r="E44" s="4834">
        <f>'Part V-Revenues &amp; Expenses'!H23</f>
        <v>675</v>
      </c>
      <c r="F44" s="4835"/>
      <c r="G44" s="439"/>
      <c r="H44" s="4831"/>
      <c r="I44" s="4832"/>
      <c r="J44" s="4832"/>
      <c r="K44" s="4832"/>
      <c r="L44" s="4833"/>
    </row>
    <row r="45" spans="1:12" s="432" customFormat="1" ht="13.15" customHeight="1">
      <c r="A45" s="1574">
        <f>'Part V-Revenues &amp; Expenses'!B24</f>
        <v>60</v>
      </c>
      <c r="B45" s="1575">
        <f>'Part V-Revenues &amp; Expenses'!E24</f>
        <v>15</v>
      </c>
      <c r="C45" s="1576" t="e">
        <f ca="1">_xlfn.CONCAT('Part V-Revenues &amp; Expenses'!C24," / ",'Part V-Revenues &amp; Expenses'!D24)</f>
        <v>#NAME?</v>
      </c>
      <c r="D45" s="1575">
        <f>'Part V-Revenues &amp; Expenses'!F24</f>
        <v>491</v>
      </c>
      <c r="E45" s="4834">
        <f>'Part V-Revenues &amp; Expenses'!H24</f>
        <v>675</v>
      </c>
      <c r="F45" s="4835"/>
      <c r="G45" s="439"/>
      <c r="H45" s="4831"/>
      <c r="I45" s="4832"/>
      <c r="J45" s="4832"/>
      <c r="K45" s="4832"/>
      <c r="L45" s="4833"/>
    </row>
    <row r="46" spans="1:12" s="432" customFormat="1" ht="13.15" customHeight="1">
      <c r="A46" s="1574">
        <f>'Part V-Revenues &amp; Expenses'!B25</f>
        <v>60</v>
      </c>
      <c r="B46" s="1575">
        <f>'Part V-Revenues &amp; Expenses'!E25</f>
        <v>14</v>
      </c>
      <c r="C46" s="1576" t="e">
        <f ca="1">_xlfn.CONCAT('Part V-Revenues &amp; Expenses'!C25," / ",'Part V-Revenues &amp; Expenses'!D25)</f>
        <v>#NAME?</v>
      </c>
      <c r="D46" s="1575">
        <f>'Part V-Revenues &amp; Expenses'!F25</f>
        <v>634</v>
      </c>
      <c r="E46" s="4834">
        <f>'Part V-Revenues &amp; Expenses'!H25</f>
        <v>750</v>
      </c>
      <c r="F46" s="4835"/>
      <c r="G46" s="439"/>
      <c r="H46" s="4831"/>
      <c r="I46" s="4832"/>
      <c r="J46" s="4832"/>
      <c r="K46" s="4832"/>
      <c r="L46" s="4833"/>
    </row>
    <row r="47" spans="1:12" s="432" customFormat="1" ht="13.15" customHeight="1">
      <c r="A47" s="1574">
        <f>'Part V-Revenues &amp; Expenses'!B26</f>
        <v>60</v>
      </c>
      <c r="B47" s="1575">
        <f>'Part V-Revenues &amp; Expenses'!E26</f>
        <v>7</v>
      </c>
      <c r="C47" s="1576" t="e">
        <f ca="1">_xlfn.CONCAT('Part V-Revenues &amp; Expenses'!C26," / ",'Part V-Revenues &amp; Expenses'!D26)</f>
        <v>#NAME?</v>
      </c>
      <c r="D47" s="1575">
        <f>'Part V-Revenues &amp; Expenses'!F26</f>
        <v>634</v>
      </c>
      <c r="E47" s="4834">
        <f>'Part V-Revenues &amp; Expenses'!H26</f>
        <v>750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3478</v>
      </c>
      <c r="C1" s="4726"/>
      <c r="D1" s="4726"/>
      <c r="E1" s="4726"/>
      <c r="F1" s="4726"/>
      <c r="G1" s="4726"/>
      <c r="H1" s="4726"/>
      <c r="I1" s="4726"/>
    </row>
    <row r="2" spans="2:13" ht="15">
      <c r="B2" s="1040" t="s">
        <v>3466</v>
      </c>
      <c r="C2" s="616"/>
      <c r="D2" s="616"/>
      <c r="E2" s="616"/>
      <c r="F2" s="616"/>
      <c r="G2" s="616"/>
      <c r="H2" s="616"/>
      <c r="I2" s="616"/>
    </row>
    <row r="3" spans="2:13" ht="14.25">
      <c r="B3" s="1041" t="s">
        <v>3473</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Freedom's Path Augusta III</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3468</v>
      </c>
      <c r="I9" s="1043" t="str">
        <f>'Closing term sheet'!D12</f>
        <v>&lt;&lt;Select&gt;&gt;</v>
      </c>
    </row>
    <row r="10" spans="2:13" ht="7.5" customHeight="1"/>
    <row r="11" spans="2:13" ht="14.25">
      <c r="B11" s="605" t="s">
        <v>3465</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3469</v>
      </c>
      <c r="E16" s="523" t="s">
        <v>3057</v>
      </c>
      <c r="I16" s="1050"/>
    </row>
    <row r="17" spans="2:9" ht="7.5" customHeight="1">
      <c r="B17" s="1047"/>
      <c r="I17" s="1049"/>
    </row>
    <row r="18" spans="2:9">
      <c r="B18" s="1047" t="s">
        <v>2895</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c r="B35" s="1047" t="s">
        <v>3477</v>
      </c>
      <c r="F35" s="736"/>
      <c r="H35" s="4826" t="s">
        <v>3486</v>
      </c>
      <c r="I35" s="4891"/>
    </row>
    <row r="36" spans="2:9">
      <c r="B36" s="1059" t="s">
        <v>3485</v>
      </c>
      <c r="C36" s="523"/>
      <c r="D36" s="523"/>
      <c r="F36" s="1258"/>
      <c r="G36" s="617"/>
      <c r="H36" s="4826"/>
      <c r="I36" s="4891"/>
    </row>
    <row r="37" spans="2:9">
      <c r="B37" s="1059" t="s">
        <v>3483</v>
      </c>
      <c r="D37" s="523"/>
      <c r="F37" s="1259"/>
      <c r="G37" s="617"/>
      <c r="H37" s="4826"/>
      <c r="I37" s="4891"/>
    </row>
    <row r="38" spans="2:9">
      <c r="B38" s="1059" t="s">
        <v>3484</v>
      </c>
      <c r="F38" s="1259"/>
      <c r="G38" s="617"/>
      <c r="H38" s="617"/>
      <c r="I38" s="1060"/>
    </row>
    <row r="39" spans="2:9" ht="12.75" customHeight="1">
      <c r="B39" s="1059" t="s">
        <v>3482</v>
      </c>
      <c r="F39" s="1259"/>
      <c r="G39" s="617"/>
      <c r="H39" s="617"/>
      <c r="I39" s="1060"/>
    </row>
    <row r="40" spans="2:9">
      <c r="B40" s="1061" t="s">
        <v>3481</v>
      </c>
      <c r="E40" s="614"/>
      <c r="F40" s="1259"/>
      <c r="G40" s="614"/>
      <c r="H40" s="1257"/>
      <c r="I40" s="1049"/>
    </row>
    <row r="41" spans="2:9">
      <c r="B41" s="1061" t="s">
        <v>3480</v>
      </c>
      <c r="F41" s="1259"/>
      <c r="I41" s="1049"/>
    </row>
    <row r="42" spans="2:9">
      <c r="B42" s="1061" t="s">
        <v>3479</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3488</v>
      </c>
      <c r="C52" s="4871" t="str">
        <f>'Part I-Project Identification'!F26</f>
        <v>Augusta</v>
      </c>
      <c r="D52" s="4872"/>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c r="B55" s="1061" t="s">
        <v>3654</v>
      </c>
      <c r="D55" s="1058" t="e">
        <f>'Closing term sheet'!$D$33</f>
        <v>#VALUE!</v>
      </c>
      <c r="E55" s="1062"/>
      <c r="F55" s="560" t="s">
        <v>2909</v>
      </c>
      <c r="I55" s="1049"/>
    </row>
    <row r="56" spans="2:9">
      <c r="B56" s="1061" t="s">
        <v>3656</v>
      </c>
      <c r="D56" s="1069">
        <f>'Closing term sheet'!$D$63</f>
        <v>18662037</v>
      </c>
      <c r="E56" s="1070"/>
      <c r="F56" s="560" t="s">
        <v>2910</v>
      </c>
      <c r="I56" s="1049"/>
    </row>
    <row r="57" spans="2:9">
      <c r="B57" s="1059" t="s">
        <v>3655</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18662037</v>
      </c>
      <c r="G84" s="4895"/>
      <c r="I84" s="1049"/>
    </row>
    <row r="85" spans="2:9">
      <c r="B85" s="1047"/>
      <c r="C85" s="432" t="s">
        <v>2928</v>
      </c>
      <c r="F85" s="4870">
        <f>'Part II-Sources of Funds'!I47+'Part II-Sources of Funds'!L47</f>
        <v>929311.59180964972</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19602348.591809649</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19602348.591809649</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4" t="s">
        <v>6616</v>
      </c>
      <c r="R11" s="4924"/>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3906</v>
      </c>
      <c r="R13" s="4906"/>
      <c r="S13" s="144"/>
      <c r="T13" s="144"/>
      <c r="U13" s="144"/>
      <c r="AA13" s="68"/>
      <c r="AB13" s="68"/>
    </row>
    <row r="14" spans="1:28" s="145" customFormat="1" ht="12.75" hidden="1" customHeight="1">
      <c r="A14" s="147"/>
      <c r="B14" s="147"/>
      <c r="C14" s="147"/>
      <c r="K14" s="236" t="s">
        <v>3907</v>
      </c>
      <c r="L14" s="236"/>
      <c r="N14" s="234"/>
      <c r="O14" s="147"/>
      <c r="P14" s="144"/>
      <c r="Q14" s="4904">
        <v>0.2</v>
      </c>
      <c r="R14" s="4905"/>
      <c r="S14" s="144"/>
      <c r="T14" s="144"/>
      <c r="U14" s="144"/>
      <c r="AA14" s="68"/>
      <c r="AB14" s="68"/>
    </row>
    <row r="15" spans="1:28" s="145" customFormat="1" ht="12.75" hidden="1" customHeight="1">
      <c r="A15" s="147"/>
      <c r="B15" s="147"/>
      <c r="C15" s="147"/>
      <c r="K15" s="236" t="s">
        <v>3908</v>
      </c>
      <c r="L15" s="236"/>
      <c r="N15" s="234"/>
      <c r="O15" s="147"/>
      <c r="P15" s="144"/>
      <c r="Q15" s="4927">
        <v>0.15</v>
      </c>
      <c r="R15" s="4928"/>
      <c r="S15" s="144"/>
      <c r="T15" s="144"/>
      <c r="U15" s="144"/>
      <c r="AA15" s="68"/>
      <c r="AB15" s="68"/>
    </row>
    <row r="16" spans="1:28" s="145" customFormat="1" ht="12.75" hidden="1" customHeight="1">
      <c r="A16" s="147"/>
      <c r="B16" s="147"/>
      <c r="C16" s="147"/>
      <c r="K16" s="236" t="s">
        <v>3909</v>
      </c>
      <c r="L16" s="236"/>
      <c r="N16" s="234"/>
      <c r="O16" s="147"/>
      <c r="P16" s="144"/>
      <c r="Q16" s="4927">
        <v>0.15</v>
      </c>
      <c r="R16" s="4928"/>
      <c r="S16" s="144"/>
      <c r="T16" s="144"/>
      <c r="U16" s="144"/>
      <c r="AA16" s="68"/>
      <c r="AB16" s="68"/>
    </row>
    <row r="17" spans="1:28" s="145" customFormat="1" ht="12.75" hidden="1" customHeight="1">
      <c r="A17" s="147"/>
      <c r="B17" s="147"/>
      <c r="C17" s="147"/>
      <c r="K17" s="236" t="s">
        <v>3910</v>
      </c>
      <c r="L17" s="236"/>
      <c r="N17" s="234"/>
      <c r="O17" s="147"/>
      <c r="P17" s="144"/>
      <c r="Q17" s="4927">
        <v>0.1</v>
      </c>
      <c r="R17" s="4928"/>
      <c r="S17" s="144"/>
      <c r="T17" s="144"/>
      <c r="U17" s="144"/>
      <c r="AA17" s="68"/>
      <c r="AB17" s="68"/>
    </row>
    <row r="18" spans="1:28" s="145" customFormat="1" ht="12.75" hidden="1" customHeight="1">
      <c r="A18" s="147"/>
      <c r="B18" s="147"/>
      <c r="C18" s="147"/>
      <c r="K18" s="236" t="s">
        <v>3911</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3313</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3314</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3314</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3315</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3315</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3315</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3322</v>
      </c>
      <c r="G44" s="147"/>
      <c r="H44" s="144"/>
      <c r="I44" s="144"/>
      <c r="J44" s="147" t="s">
        <v>3318</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3319</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3320</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3321</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3316</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3296</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3411</v>
      </c>
      <c r="I64" s="144"/>
      <c r="J64" s="147" t="s">
        <v>3777</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3914</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3305</v>
      </c>
      <c r="I107" s="144"/>
      <c r="J107" s="147" t="s">
        <v>3306</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6758</v>
      </c>
      <c r="J108" s="147" t="s">
        <v>6513</v>
      </c>
      <c r="K108" s="147"/>
      <c r="L108" s="147"/>
      <c r="M108" s="147"/>
      <c r="O108" s="147" t="s">
        <v>6507</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2510</v>
      </c>
      <c r="I113" s="144"/>
      <c r="J113" s="225" t="s">
        <v>2445</v>
      </c>
      <c r="K113" s="147"/>
      <c r="L113" s="147"/>
      <c r="M113" s="147"/>
      <c r="O113" s="147"/>
      <c r="P113" s="144"/>
      <c r="Q113" s="4952" t="s">
        <v>6759</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6099</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3312</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6755</v>
      </c>
      <c r="B125" s="4968"/>
      <c r="C125" s="2002"/>
      <c r="D125" s="4970"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6753</v>
      </c>
      <c r="J127" s="142" t="s">
        <v>748</v>
      </c>
      <c r="K127" s="142"/>
      <c r="L127" s="223"/>
    </row>
    <row r="128" spans="1:28" ht="13.5">
      <c r="C128" s="715" t="s">
        <v>751</v>
      </c>
      <c r="D128" s="1304" t="s">
        <v>2995</v>
      </c>
      <c r="F128" s="715" t="s">
        <v>6751</v>
      </c>
      <c r="H128" s="4966"/>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2996</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3400</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3301</v>
      </c>
      <c r="O140" s="434" t="s">
        <v>3491</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3492</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3493</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3494</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1" t="s">
        <v>1122</v>
      </c>
      <c r="N144" s="789" t="s">
        <v>1657</v>
      </c>
      <c r="O144" s="998" t="s">
        <v>3495</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3496</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3497</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1" t="s">
        <v>1122</v>
      </c>
      <c r="N147" s="789" t="s">
        <v>1131</v>
      </c>
      <c r="O147" s="998" t="s">
        <v>3498</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1" t="s">
        <v>1122</v>
      </c>
      <c r="N148" s="789" t="s">
        <v>1131</v>
      </c>
      <c r="O148" s="998" t="s">
        <v>3499</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3500</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3501</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1" t="s">
        <v>1122</v>
      </c>
      <c r="N151" s="789" t="s">
        <v>1242</v>
      </c>
      <c r="O151" s="998" t="s">
        <v>3502</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3503</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3504</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3505</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3506</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3507</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1" t="s">
        <v>2392</v>
      </c>
      <c r="N157" s="789" t="s">
        <v>1252</v>
      </c>
      <c r="O157" s="998" t="s">
        <v>3508</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3509</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3510</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3511</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3512</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1" t="s">
        <v>1122</v>
      </c>
      <c r="N162" s="789" t="s">
        <v>1131</v>
      </c>
      <c r="O162" s="998" t="s">
        <v>3513</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3514</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3515</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3516</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1" t="s">
        <v>2392</v>
      </c>
      <c r="N166" s="789" t="s">
        <v>154</v>
      </c>
      <c r="O166" s="998" t="s">
        <v>3517</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3518</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1" t="s">
        <v>1122</v>
      </c>
      <c r="N168" s="789" t="s">
        <v>1131</v>
      </c>
      <c r="O168" s="998" t="s">
        <v>3519</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3520</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3521</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1" t="s">
        <v>1122</v>
      </c>
      <c r="N171" s="789" t="s">
        <v>1131</v>
      </c>
      <c r="O171" s="998" t="s">
        <v>3522</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3523</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1" t="s">
        <v>1122</v>
      </c>
      <c r="N173" s="789" t="s">
        <v>1131</v>
      </c>
      <c r="O173" s="998" t="s">
        <v>3524</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3525</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3526</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1" t="s">
        <v>2392</v>
      </c>
      <c r="N176" s="789" t="s">
        <v>1252</v>
      </c>
      <c r="O176" s="998" t="s">
        <v>3527</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3528</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1" t="s">
        <v>1122</v>
      </c>
      <c r="N178" s="789" t="s">
        <v>1131</v>
      </c>
      <c r="O178" s="998" t="s">
        <v>3529</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1" t="s">
        <v>2392</v>
      </c>
      <c r="N179" s="789" t="s">
        <v>1242</v>
      </c>
      <c r="O179" s="998" t="s">
        <v>3530</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3531</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3532</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1" t="s">
        <v>1122</v>
      </c>
      <c r="N182" s="789" t="s">
        <v>1131</v>
      </c>
      <c r="O182" s="998" t="s">
        <v>3533</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3534</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1" t="s">
        <v>1122</v>
      </c>
      <c r="N184" s="789" t="s">
        <v>1131</v>
      </c>
      <c r="O184" s="998" t="s">
        <v>3535</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3536</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3537</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3538</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1" t="s">
        <v>1122</v>
      </c>
      <c r="N188" s="789" t="s">
        <v>1131</v>
      </c>
      <c r="O188" s="998" t="s">
        <v>3539</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3540</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3541</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3542</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3543</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3544</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3545</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3546</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1" t="s">
        <v>1122</v>
      </c>
      <c r="N196" s="789" t="s">
        <v>1131</v>
      </c>
      <c r="O196" s="998" t="s">
        <v>3547</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3548</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1" t="s">
        <v>1122</v>
      </c>
      <c r="N198" s="789" t="s">
        <v>1131</v>
      </c>
      <c r="O198" s="998" t="s">
        <v>3549</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3550</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1" t="s">
        <v>1122</v>
      </c>
      <c r="N200" s="789" t="s">
        <v>1131</v>
      </c>
      <c r="O200" s="998" t="s">
        <v>3551</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3552</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3553</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3554</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3555</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3556</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3557</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1" t="s">
        <v>1122</v>
      </c>
      <c r="N207" s="789" t="s">
        <v>1131</v>
      </c>
      <c r="O207" s="998" t="s">
        <v>3558</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3559</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3560</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3561</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3562</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1" t="s">
        <v>2392</v>
      </c>
      <c r="N212" s="789" t="s">
        <v>154</v>
      </c>
      <c r="O212" s="998" t="s">
        <v>3563</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3564</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1" t="s">
        <v>1122</v>
      </c>
      <c r="N214" s="789" t="s">
        <v>1131</v>
      </c>
      <c r="O214" s="998" t="s">
        <v>3565</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1" t="s">
        <v>1122</v>
      </c>
      <c r="N215" s="789" t="s">
        <v>1131</v>
      </c>
      <c r="O215" s="998" t="s">
        <v>3566</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1" t="s">
        <v>1122</v>
      </c>
      <c r="N216" s="789" t="s">
        <v>1242</v>
      </c>
      <c r="O216" s="998" t="s">
        <v>3567</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3568</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3569</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1" t="s">
        <v>1122</v>
      </c>
      <c r="N219" s="789" t="s">
        <v>1131</v>
      </c>
      <c r="O219" s="998" t="s">
        <v>3570</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3571</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3572</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3573</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3574</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1" t="s">
        <v>2392</v>
      </c>
      <c r="N224" s="789" t="s">
        <v>1242</v>
      </c>
      <c r="O224" s="998" t="s">
        <v>3575</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3576</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3577</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3578</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3579</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1" t="s">
        <v>1122</v>
      </c>
      <c r="N229" s="789" t="s">
        <v>1248</v>
      </c>
      <c r="O229" s="998" t="s">
        <v>3580</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3581</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3582</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3583</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3584</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3585</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3586</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1" t="s">
        <v>2392</v>
      </c>
      <c r="N236" s="789" t="s">
        <v>154</v>
      </c>
      <c r="O236" s="998" t="s">
        <v>3587</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1" t="s">
        <v>2392</v>
      </c>
      <c r="N237" s="789" t="s">
        <v>1252</v>
      </c>
      <c r="O237" s="998" t="s">
        <v>3588</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3589</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3590</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3591</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3592</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3593</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3594</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3595</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3596</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1" t="s">
        <v>1122</v>
      </c>
      <c r="N246" s="789" t="s">
        <v>154</v>
      </c>
      <c r="O246" s="998" t="s">
        <v>3597</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1" t="s">
        <v>1122</v>
      </c>
      <c r="N247" s="789" t="s">
        <v>1131</v>
      </c>
      <c r="O247" s="998" t="s">
        <v>3598</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3599</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3600</v>
      </c>
      <c r="P249" s="241" t="s">
        <v>2149</v>
      </c>
      <c r="Q249" s="241"/>
      <c r="R249" s="147"/>
      <c r="S249" s="236"/>
      <c r="T249" s="392" t="s">
        <v>3778</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1" t="s">
        <v>1122</v>
      </c>
      <c r="N250" s="789" t="s">
        <v>1131</v>
      </c>
      <c r="O250" s="998" t="s">
        <v>3601</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1" t="s">
        <v>2392</v>
      </c>
      <c r="N251" s="789" t="s">
        <v>1242</v>
      </c>
      <c r="O251" s="998" t="s">
        <v>3602</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1" t="s">
        <v>1122</v>
      </c>
      <c r="N252" s="789" t="s">
        <v>1131</v>
      </c>
      <c r="O252" s="998" t="s">
        <v>3603</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3604</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1" t="s">
        <v>1122</v>
      </c>
      <c r="N254" s="789" t="s">
        <v>1131</v>
      </c>
      <c r="O254" s="998" t="s">
        <v>3605</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3606</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3607</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3608</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3609</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3610</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3611</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1" t="s">
        <v>1122</v>
      </c>
      <c r="N261" s="789" t="s">
        <v>1252</v>
      </c>
      <c r="O261" s="998" t="s">
        <v>3612</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6726</v>
      </c>
      <c r="L262" s="789" t="s">
        <v>399</v>
      </c>
      <c r="M262" s="1961" t="s">
        <v>1122</v>
      </c>
      <c r="N262" s="789" t="s">
        <v>1131</v>
      </c>
      <c r="O262" s="998" t="s">
        <v>3613</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3614</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3615</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3616</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3617</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6726</v>
      </c>
      <c r="L267" s="789" t="s">
        <v>399</v>
      </c>
      <c r="M267" s="1961" t="s">
        <v>1122</v>
      </c>
      <c r="N267" s="789" t="s">
        <v>1131</v>
      </c>
      <c r="O267" s="998" t="s">
        <v>3618</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3619</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6733</v>
      </c>
      <c r="L269" s="789" t="s">
        <v>398</v>
      </c>
      <c r="M269" s="1961" t="s">
        <v>2392</v>
      </c>
      <c r="N269" s="789" t="s">
        <v>154</v>
      </c>
      <c r="O269" s="998" t="s">
        <v>3620</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3621</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6734</v>
      </c>
      <c r="L271" s="789" t="s">
        <v>398</v>
      </c>
      <c r="M271" s="1961" t="s">
        <v>2392</v>
      </c>
      <c r="N271" s="789" t="s">
        <v>154</v>
      </c>
      <c r="O271" s="998" t="s">
        <v>3622</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3623</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3624</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3625</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3626</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3627</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3628</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3629</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3630</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3631</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3632</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3633</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3634</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6727</v>
      </c>
      <c r="L284" s="789" t="s">
        <v>399</v>
      </c>
      <c r="M284" s="1961" t="s">
        <v>2392</v>
      </c>
      <c r="N284" s="789" t="s">
        <v>1242</v>
      </c>
      <c r="O284" s="998" t="s">
        <v>3635</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3636</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3637</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3638</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6726</v>
      </c>
      <c r="L288" s="789" t="s">
        <v>399</v>
      </c>
      <c r="M288" s="1961" t="s">
        <v>1122</v>
      </c>
      <c r="N288" s="789" t="s">
        <v>1131</v>
      </c>
      <c r="O288" s="998" t="s">
        <v>3639</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3640</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3641</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3642</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3643</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3644</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3645</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3646</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3647</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3648</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3649</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3650</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3651</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4056</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3960</v>
      </c>
      <c r="D303" s="4948" t="s">
        <v>3961</v>
      </c>
      <c r="E303" s="4948" t="s">
        <v>3962</v>
      </c>
      <c r="F303" s="4948" t="s">
        <v>3963</v>
      </c>
      <c r="G303" s="4945" t="s">
        <v>3960</v>
      </c>
      <c r="H303" s="4948" t="s">
        <v>3961</v>
      </c>
      <c r="I303" s="4948" t="s">
        <v>3962</v>
      </c>
      <c r="J303" s="4948" t="s">
        <v>3963</v>
      </c>
      <c r="L303" s="4945" t="s">
        <v>3960</v>
      </c>
      <c r="M303" s="4948" t="s">
        <v>3961</v>
      </c>
      <c r="N303" s="4948" t="s">
        <v>3962</v>
      </c>
      <c r="O303" s="4948" t="s">
        <v>3963</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1796</v>
      </c>
      <c r="Q334" s="241"/>
      <c r="R334" s="147"/>
      <c r="S334" s="236"/>
      <c r="T334" s="236" t="s">
        <v>3779</v>
      </c>
      <c r="U334" s="236" t="s">
        <v>618</v>
      </c>
      <c r="W334" s="44" t="s">
        <v>2315</v>
      </c>
      <c r="X334" s="44" t="s">
        <v>3018</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2287</v>
      </c>
      <c r="W339" s="44" t="s">
        <v>1766</v>
      </c>
      <c r="X339" s="44" t="s">
        <v>3018</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3344</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1765</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1830</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ht="13.5">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ht="13.5">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ht="13.5">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ht="13.5">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ht="13.5">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ht="13.5">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ht="13.5">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ht="13.5">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ht="13.5">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ht="13.5">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ht="13.5">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ht="13.5">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ht="13.5">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ht="13.5">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ht="13.5">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ht="13.5">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ht="13.5">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ht="13.5">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ht="13.5">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ht="13.5">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ht="13.5">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ht="13.5">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ht="13.5">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ht="13.5">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ht="13.5">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ht="13.5">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ht="13.5">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ht="13.5">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ht="13.5">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ht="13.5">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ht="13.5">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ht="13.5">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ht="13.5">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ht="13.5">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ht="13.5">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ht="13.5">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ht="13.5">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ht="13.5">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ht="13.5">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ht="13.5">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ht="13.5">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ht="13.5">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ht="13.5">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ht="13.5">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ht="13.5">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ht="13.5">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ht="13.5">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ht="13.5">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ht="13.5">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ht="13.5">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ht="13.5">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ht="13.5">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ht="13.5">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ht="13.5">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ht="13.5">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ht="13.5">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ht="13.5">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ht="13.5">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ht="13.5">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ht="13.5">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ht="13.5">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ht="13.5">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ht="13.5">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ht="13.5">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ht="13.5">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ht="13.5">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ht="13.5">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ht="13.5">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ht="13.5">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ht="13.5">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ht="13.5">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ht="13.5">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ht="13.5">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ht="13.5">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ht="13.5">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ht="13.5">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ht="13.5">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ht="13.5">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ht="13.5">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ht="13.5">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ht="13.5">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ht="13.5">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ht="13.5">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ht="13.5">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ht="13.5">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ht="13.5">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ht="13.5">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ht="13.5">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ht="13.5">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ht="13.5">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ht="13.5">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ht="13.5">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ht="13.5">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ht="13.5">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ht="13.5">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ht="13.5">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ht="13.5">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ht="13.5">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ht="13.5">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ht="13.5">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ht="13.5">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ht="13.5">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ht="13.5">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ht="13.5">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ht="13.5">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ht="13.5">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ht="13.5">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ht="13.5">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ht="13.5">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ht="13.5">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ht="13.5">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ht="13.5">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ht="13.5">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ht="13.5">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ht="13.5">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ht="13.5">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ht="13.5">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ht="13.5">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ht="13.5">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ht="13.5">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ht="13.5">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ht="13.5">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ht="13.5">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ht="13.5">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ht="13.5">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ht="13.5">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ht="13.5">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ht="13.5">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ht="13.5">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ht="13.5">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ht="13.5">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ht="13.5">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ht="13.5">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ht="13.5">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ht="13.5">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ht="13.5">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ht="13.5">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ht="13.5">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ht="13.5">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ht="13.5">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ht="13.5">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ht="13.5">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ht="13.5">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ht="13.5">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ht="13.5">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ht="13.5">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ht="13.5">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ht="13.5">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ht="13.5">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ht="13.5">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ht="13.5">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ht="13.5">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ht="13.5">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ht="13.5">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ht="13.5">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ht="13.5">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ht="13.5">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ht="13.5">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ht="13.5">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ht="13.5">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ht="13.5">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ht="13.5">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ht="13.5">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ht="13.5">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ht="13.5">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ht="13.5">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ht="13.5">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ht="13.5">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ht="13.5">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ht="13.5">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ht="13.5">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ht="13.5">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ht="13.5">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ht="13.5">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ht="13.5">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ht="13.5">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ht="13.5">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ht="13.5">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ht="13.5">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ht="13.5">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ht="13.5">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ht="13.5">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ht="13.5">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ht="13.5">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ht="13.5">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ht="13.5">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ht="13.5">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ht="13.5">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ht="13.5">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ht="13.5">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ht="13.5">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ht="13.5">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ht="13.5">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ht="13.5">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ht="13.5">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ht="13.5">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ht="13.5">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ht="13.5">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ht="13.5">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ht="13.5">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ht="13.5">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ht="13.5">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ht="13.5">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ht="13.5">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ht="13.5">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ht="13.5">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ht="13.5">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ht="13.5">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ht="13.5">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ht="13.5">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ht="13.5">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ht="13.5">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ht="13.5">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ht="13.5">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ht="13.5">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ht="13.5">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ht="13.5">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ht="13.5">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ht="13.5">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ht="13.5">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ht="13.5">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ht="13.5">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ht="13.5">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ht="13.5">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ht="13.5">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ht="13.5">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ht="13.5">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ht="13.5">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ht="13.5">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ht="13.5">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ht="13.5">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ht="13.5">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ht="13.5">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ht="13.5">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ht="13.5">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ht="13.5">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ht="13.5">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ht="13.5">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ht="13.5">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ht="13.5">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ht="13.5">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ht="13.5">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ht="13.5">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ht="13.5">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ht="13.5">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ht="13.5">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ht="13.5">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ht="13.5">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ht="13.5">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ht="13.5">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ht="13.5">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ht="13.5">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ht="13.5">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ht="13.5">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ht="13.5">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ht="13.5">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ht="13.5">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ht="13.5">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ht="13.5">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ht="13.5">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ht="13.5">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ht="13.5">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ht="13.5">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ht="13.5">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ht="13.5">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ht="13.5">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ht="13.5">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ht="13.5">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ht="13.5">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ht="13.5">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ht="13.5">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ht="13.5">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ht="13.5">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ht="13.5">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ht="13.5">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ht="13.5">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ht="13.5">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ht="13.5">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ht="13.5">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ht="13.5">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ht="13.5">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ht="13.5">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ht="13.5">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ht="13.5">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ht="13.5">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ht="13.5">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ht="13.5">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ht="13.5">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ht="13.5">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ht="13.5">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ht="13.5">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ht="13.5">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ht="13.5">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ht="13.5">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ht="13.5">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ht="13.5">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ht="13.5">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ht="13.5">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ht="13.5">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ht="13.5">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ht="13.5">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ht="13.5">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ht="13.5">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ht="13.5">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ht="13.5">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ht="13.5">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ht="13.5">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ht="13.5">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ht="13.5">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ht="13.5">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ht="13.5">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ht="13.5">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ht="13.5">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ht="13.5">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ht="13.5">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ht="13.5">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ht="13.5">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ht="13.5">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ht="13.5">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ht="13.5">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ht="13.5">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ht="13.5">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ht="13.5">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ht="13.5">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ht="13.5">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ht="13.5">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ht="13.5">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ht="13.5">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ht="13.5">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ht="13.5">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ht="13.5">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ht="13.5">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ht="13.5">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ht="13.5">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ht="13.5">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ht="13.5">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ht="13.5">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ht="13.5">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ht="13.5">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ht="13.5">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ht="13.5">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ht="13.5">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ht="13.5">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ht="13.5">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ht="13.5">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ht="13.5">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ht="13.5">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ht="13.5">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ht="13.5">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ht="13.5">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ht="13.5">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ht="13.5">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ht="13.5">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ht="13.5">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ht="13.5">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ht="13.5">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ht="13.5">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ht="13.5">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ht="13.5">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ht="13.5">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ht="13.5">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ht="13.5">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ht="13.5">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ht="13.5">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ht="13.5">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ht="13.5">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ht="13.5">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ht="13.5">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ht="13.5">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ht="13.5">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ht="13.5">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ht="13.5">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ht="13.5">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ht="13.5">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ht="13.5">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ht="13.5">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ht="13.5">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ht="13.5">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ht="13.5">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ht="13.5">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ht="13.5">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ht="13.5">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ht="13.5">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ht="13.5">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ht="13.5">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ht="13.5">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ht="13.5">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ht="13.5">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ht="13.5">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ht="13.5">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ht="13.5">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ht="13.5">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ht="13.5">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ht="13.5">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ht="13.5">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ht="13.5">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ht="13.5">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ht="13.5">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ht="13.5">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ht="13.5">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ht="13.5">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ht="13.5">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ht="13.5">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ht="13.5">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ht="13.5">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ht="13.5">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ht="13.5">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ht="13.5">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ht="13.5">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ht="13.5">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ht="13.5">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ht="13.5">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ht="13.5">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ht="13.5">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ht="13.5">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ht="13.5">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ht="13.5">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ht="13.5">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ht="13.5">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ht="13.5">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ht="13.5">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ht="13.5">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ht="13.5">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ht="13.5">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ht="13.5">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ht="13.5">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ht="13.5">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ht="13.5">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ht="13.5">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ht="13.5">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ht="13.5">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ht="13.5">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ht="13.5">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ht="13.5">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ht="13.5">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ht="13.5">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ht="13.5">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ht="13.5">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ht="13.5">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ht="13.5">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ht="13.5">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ht="13.5">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ht="13.5">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ht="13.5">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ht="13.5">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ht="13.5">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ht="13.5">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ht="13.5">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ht="13.5">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ht="13.5">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ht="13.5">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ht="13.5">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ht="13.5">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ht="13.5">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ht="13.5">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ht="13.5">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ht="13.5">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ht="13.5">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ht="13.5">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ht="13.5">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ht="13.5">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ht="13.5">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ht="13.5">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ht="13.5">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ht="13.5">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ht="13.5">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ht="13.5">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ht="13.5">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ht="13.5">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ht="13.5">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ht="13.5">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ht="13.5">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ht="13.5">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ht="13.5">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ht="13.5">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ht="13.5">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ht="13.5">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ht="13.5">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ht="13.5">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ht="13.5">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ht="13.5">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ht="13.5">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ht="13.5">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ht="13.5">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ht="13.5">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ht="13.5">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ht="13.5">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ht="13.5">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ht="13.5">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ht="13.5">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ht="13.5">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ht="13.5">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ht="13.5">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ht="13.5">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ht="13.5">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ht="13.5">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ht="13.5">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ht="13.5">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ht="13.5">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ht="13.5">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ht="13.5">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ht="13.5">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ht="13.5">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ht="13.5">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ht="13.5">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ht="13.5">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ht="13.5">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ht="13.5">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ht="13.5">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ht="13.5">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ht="13.5">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ht="13.5">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ht="13.5">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ht="13.5">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ht="13.5">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ht="13.5">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ht="13.5">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ht="13.5">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ht="13.5">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ht="13.5">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ht="13.5">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ht="13.5">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ht="13.5">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ht="13.5">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ht="13.5">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ht="13.5">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ht="13.5">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ht="13.5">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ht="13.5">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ht="13.5">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ht="13.5">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ht="13.5">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ht="13.5">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ht="13.5">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ht="13.5">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ht="13.5">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ht="13.5">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ht="13.5">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ht="13.5">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ht="13.5">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ht="13.5">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ht="13.5">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ht="13.5">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ht="13.5">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ht="13.5">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ht="13.5">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ht="13.5">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ht="13.5">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ht="13.5">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ht="13.5">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ht="13.5">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ht="13.5">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ht="13.5">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ht="13.5">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ht="13.5">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ht="13.5">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ht="13.5">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ht="13.5">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ht="13.5">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ht="13.5">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ht="13.5">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ht="13.5">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ht="13.5">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ht="13.5">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ht="13.5">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ht="13.5">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ht="13.5">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ht="13.5">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ht="13.5">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ht="13.5">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ht="13.5">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ht="13.5">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ht="13.5">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ht="13.5">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ht="13.5">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ht="13.5">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ht="13.5">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ht="13.5">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ht="13.5">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ht="13.5">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ht="13.5">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ht="13.5">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ht="13.5">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ht="13.5">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ht="13.5">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ht="13.5">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ht="13.5">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ht="13.5">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ht="13.5">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ht="13.5">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ht="13.5">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ht="13.5">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ht="13.5">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ht="13.5">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ht="13.5">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ht="13.5">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ht="13.5">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ht="13.5">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ht="13.5">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ht="13.5">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ht="13.5">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ht="13.5">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ht="13.5">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ht="13.5">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ht="13.5">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ht="13.5">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ht="13.5">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ht="13.5">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ht="13.5">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ht="13.5">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ht="13.5">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ht="13.5">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ht="13.5">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ht="13.5">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ht="13.5">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ht="13.5">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ht="13.5">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ht="13.5">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ht="13.5">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ht="13.5">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ht="13.5">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ht="13.5">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ht="13.5">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ht="13.5">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ht="13.5">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ht="13.5">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ht="13.5">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ht="13.5">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ht="13.5">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ht="13.5">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ht="13.5">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ht="13.5">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ht="13.5">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ht="13.5">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ht="13.5">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ht="13.5">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ht="13.5">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ht="13.5">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ht="13.5">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ht="13.5">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ht="13.5">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ht="13.5">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ht="13.5">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ht="13.5">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ht="13.5">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ht="13.5">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ht="13.5">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ht="13.5">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ht="13.5">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ht="13.5">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ht="13.5">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ht="13.5">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ht="13.5">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ht="13.5">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ht="13.5">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ht="13.5">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ht="13.5">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ht="13.5">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ht="13.5">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ht="13.5">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ht="13.5">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ht="13.5">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ht="13.5">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ht="13.5">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ht="13.5">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ht="13.5">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ht="13.5">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ht="13.5">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ht="13.5">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ht="13.5">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ht="13.5">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ht="13.5">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ht="13.5">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ht="13.5">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ht="13.5">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ht="13.5">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ht="13.5">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ht="13.5">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ht="13.5">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ht="13.5">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ht="13.5">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ht="13.5">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ht="13.5">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ht="13.5">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ht="13.5">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ht="13.5">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ht="13.5">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ht="13.5">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ht="13.5">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ht="13.5">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ht="13.5">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ht="13.5">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ht="13.5">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ht="13.5">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ht="13.5">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ht="13.5">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ht="13.5">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ht="13.5">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ht="13.5">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ht="13.5">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ht="13.5">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ht="13.5">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ht="13.5">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ht="13.5">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ht="13.5">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ht="13.5">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ht="13.5">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ht="13.5">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ht="13.5">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ht="13.5">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ht="13.5">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ht="13.5">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ht="13.5">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ht="13.5">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ht="13.5">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ht="13.5">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ht="13.5">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ht="13.5">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ht="13.5">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ht="13.5">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ht="13.5">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ht="13.5">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ht="13.5">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ht="13.5">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ht="13.5">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ht="13.5">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ht="13.5">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ht="13.5">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ht="13.5">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ht="13.5">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ht="13.5">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ht="13.5">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ht="13.5">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ht="13.5">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ht="13.5">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ht="13.5">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ht="13.5">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ht="13.5">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ht="13.5">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ht="13.5">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ht="13.5">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ht="13.5">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ht="13.5">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ht="13.5">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ht="13.5">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ht="13.5">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ht="13.5">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ht="13.5">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ht="13.5">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ht="13.5">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ht="13.5">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ht="13.5">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ht="13.5">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ht="13.5">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ht="13.5">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ht="13.5">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ht="13.5">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ht="13.5">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ht="13.5">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ht="13.5">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ht="13.5">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ht="13.5">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ht="13.5">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ht="13.5">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ht="13.5">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ht="13.5">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ht="13.5">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ht="13.5">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ht="13.5">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ht="13.5">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ht="13.5">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ht="13.5">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ht="13.5">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ht="13.5">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ht="13.5">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ht="13.5">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ht="13.5">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ht="13.5">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ht="13.5">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ht="13.5">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ht="13.5">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ht="13.5">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ht="13.5">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ht="13.5">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ht="13.5">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ht="13.5">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ht="13.5">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ht="13.5">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ht="13.5">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ht="13.5">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ht="13.5">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ht="13.5">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ht="13.5">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ht="13.5">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ht="13.5">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ht="13.5">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ht="13.5">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ht="13.5">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ht="13.5">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ht="13.5">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ht="13.5">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ht="13.5">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ht="13.5">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ht="13.5">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ht="13.5">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ht="13.5">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ht="13.5">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ht="13.5">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ht="13.5">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ht="13.5">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ht="13.5">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ht="13.5">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ht="13.5">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ht="13.5">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ht="13.5">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ht="13.5">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ht="13.5">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ht="13.5">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ht="13.5">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ht="13.5">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ht="13.5">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ht="13.5">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ht="13.5">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ht="13.5">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ht="13.5">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ht="13.5">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ht="13.5">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ht="13.5">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ht="13.5">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ht="13.5">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ht="13.5">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ht="13.5">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ht="13.5">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ht="13.5">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ht="13.5">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ht="13.5">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ht="13.5">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ht="13.5">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ht="13.5">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ht="13.5">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ht="13.5">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ht="13.5">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ht="13.5">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ht="13.5">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ht="13.5">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ht="13.5">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ht="13.5">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ht="13.5">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ht="13.5">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ht="13.5">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ht="13.5">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ht="13.5">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ht="13.5">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ht="13.5">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ht="13.5">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ht="13.5">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ht="13.5">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ht="13.5">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ht="13.5">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ht="13.5">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ht="13.5">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ht="13.5">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ht="13.5">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ht="13.5">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ht="13.5">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ht="13.5">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ht="13.5">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ht="13.5">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ht="13.5">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ht="13.5">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ht="13.5">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ht="13.5">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ht="13.5">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ht="13.5">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ht="13.5">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ht="13.5">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ht="13.5">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ht="13.5">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ht="13.5">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ht="13.5">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ht="13.5">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ht="13.5">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ht="13.5">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ht="13.5">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ht="13.5">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ht="13.5">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ht="13.5">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ht="13.5">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ht="13.5">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ht="13.5">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ht="13.5">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ht="13.5">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ht="13.5">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ht="13.5">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ht="13.5">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ht="13.5">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ht="13.5">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ht="13.5">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ht="13.5">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ht="13.5">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ht="13.5">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ht="13.5">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ht="13.5">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ht="13.5">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ht="13.5">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ht="13.5">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ht="13.5">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ht="13.5">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ht="13.5">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ht="13.5">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ht="13.5">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ht="13.5">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ht="13.5">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ht="13.5">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ht="13.5">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ht="13.5">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ht="13.5">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ht="13.5">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ht="13.5">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ht="13.5">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ht="13.5">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ht="13.5">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ht="13.5">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ht="13.5">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ht="13.5">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ht="13.5">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ht="13.5">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ht="13.5">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ht="13.5">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ht="13.5">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ht="13.5">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ht="13.5">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ht="13.5">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ht="13.5">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ht="13.5">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ht="13.5">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ht="13.5">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ht="13.5">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ht="13.5">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ht="13.5">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ht="13.5">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ht="13.5">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ht="13.5">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ht="13.5">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ht="13.5">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ht="13.5">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ht="13.5">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ht="13.5">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ht="13.5">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ht="13.5">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ht="13.5">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ht="13.5">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ht="13.5">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ht="13.5">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ht="13.5">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ht="13.5">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ht="13.5">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ht="13.5">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ht="13.5">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ht="13.5">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ht="13.5">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ht="13.5">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ht="13.5">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ht="13.5">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ht="13.5">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ht="13.5">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ht="13.5">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ht="13.5">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ht="13.5">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ht="13.5">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ht="13.5">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ht="13.5">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ht="13.5">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ht="13.5">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ht="13.5">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ht="13.5">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ht="13.5">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ht="13.5">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ht="13.5">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ht="13.5">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ht="13.5">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ht="13.5">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ht="13.5">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ht="13.5">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ht="13.5">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ht="13.5">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ht="13.5">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ht="13.5">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ht="13.5">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ht="13.5">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ht="13.5">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ht="13.5">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ht="13.5">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ht="13.5">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ht="13.5">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ht="13.5">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ht="13.5">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ht="13.5">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ht="13.5">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ht="13.5">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ht="13.5">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ht="13.5">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ht="13.5">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ht="13.5">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ht="13.5">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ht="13.5">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ht="13.5">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ht="13.5">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ht="13.5">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ht="13.5">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ht="13.5">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ht="13.5">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ht="13.5">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ht="13.5">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ht="13.5">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ht="13.5">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ht="13.5">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ht="13.5">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ht="13.5">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ht="13.5">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ht="13.5">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ht="13.5">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ht="13.5">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ht="13.5">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ht="13.5">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ht="13.5">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ht="13.5">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ht="13.5">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ht="13.5">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ht="13.5">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ht="13.5">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ht="13.5">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ht="13.5">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ht="13.5">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ht="13.5">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ht="13.5">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ht="13.5">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ht="13.5">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ht="13.5">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ht="13.5">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ht="13.5">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ht="13.5">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ht="13.5">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ht="13.5">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ht="13.5">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ht="13.5">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ht="13.5">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ht="13.5">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ht="13.5">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ht="13.5">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ht="13.5">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ht="13.5">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ht="13.5">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ht="13.5">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ht="13.5">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ht="13.5">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ht="13.5">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ht="13.5">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ht="13.5">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ht="13.5">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ht="13.5">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ht="13.5">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ht="13.5">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ht="13.5">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ht="13.5">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ht="13.5">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ht="13.5">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ht="13.5">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ht="13.5">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ht="13.5">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ht="13.5">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ht="13.5">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ht="13.5">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ht="13.5">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ht="13.5">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ht="13.5">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ht="13.5">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ht="13.5">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ht="13.5">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ht="13.5">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ht="13.5">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ht="13.5">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ht="13.5">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ht="13.5">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ht="13.5">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ht="13.5">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ht="13.5">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ht="13.5">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ht="13.5">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ht="13.5">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ht="13.5">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ht="13.5">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ht="13.5">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ht="13.5">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ht="13.5">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ht="13.5">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ht="13.5">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ht="13.5">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ht="13.5">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ht="13.5">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ht="13.5">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ht="13.5">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ht="13.5">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ht="13.5">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ht="13.5">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ht="13.5">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ht="13.5">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ht="13.5">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ht="13.5">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ht="13.5">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ht="13.5">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ht="13.5">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ht="13.5">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ht="13.5">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ht="13.5">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ht="13.5">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ht="13.5">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ht="13.5">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ht="13.5">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ht="13.5">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ht="13.5">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ht="13.5">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ht="13.5">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ht="13.5">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ht="13.5">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ht="13.5">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ht="13.5">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ht="13.5">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ht="13.5">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ht="13.5">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ht="13.5">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ht="13.5">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ht="13.5">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ht="13.5">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ht="13.5">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ht="13.5">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ht="13.5">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ht="13.5">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ht="13.5">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ht="13.5">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ht="13.5">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ht="13.5">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ht="13.5">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ht="13.5">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ht="13.5">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ht="13.5">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ht="13.5">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ht="13.5">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ht="13.5">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ht="13.5">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ht="13.5">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ht="13.5">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ht="13.5">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ht="13.5">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ht="13.5">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ht="13.5">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ht="13.5">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ht="13.5">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ht="13.5">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ht="13.5">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ht="13.5">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ht="13.5">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ht="13.5">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ht="13.5">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ht="13.5">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ht="13.5">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ht="13.5">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ht="13.5">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ht="13.5">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ht="13.5">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ht="13.5">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ht="13.5">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ht="13.5">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ht="13.5">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ht="13.5">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ht="13.5">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ht="13.5">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ht="13.5">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ht="13.5">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ht="13.5">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ht="13.5">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ht="13.5">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ht="13.5">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ht="13.5">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ht="13.5">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ht="13.5">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ht="13.5">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ht="13.5">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ht="13.5">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ht="13.5">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ht="13.5">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ht="13.5">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ht="13.5">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ht="13.5">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ht="13.5">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ht="13.5">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ht="13.5">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ht="13.5">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ht="13.5">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ht="13.5">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ht="13.5">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ht="13.5">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ht="13.5">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ht="13.5">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ht="13.5">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ht="13.5">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ht="13.5">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ht="13.5">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ht="13.5">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ht="13.5">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ht="13.5">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ht="13.5">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ht="13.5">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ht="13.5">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ht="13.5">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ht="13.5">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ht="13.5">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ht="13.5">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ht="13.5">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ht="13.5">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ht="13.5">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ht="13.5">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ht="13.5">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ht="13.5">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ht="13.5">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ht="13.5">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ht="13.5">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ht="13.5">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ht="13.5">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ht="13.5">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ht="13.5">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ht="13.5">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ht="13.5">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ht="13.5">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ht="13.5">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ht="13.5">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ht="13.5">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ht="13.5">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ht="13.5">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ht="13.5">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ht="13.5">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ht="13.5">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ht="13.5">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ht="13.5">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ht="13.5">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ht="13.5">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ht="13.5">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ht="13.5">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ht="13.5">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ht="13.5">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ht="13.5">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ht="13.5">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ht="13.5">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ht="13.5">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ht="13.5">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ht="13.5">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ht="13.5">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ht="13.5">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ht="13.5">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ht="13.5">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ht="13.5">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ht="13.5">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ht="13.5">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ht="13.5">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ht="13.5">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ht="13.5">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ht="13.5">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ht="13.5">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ht="13.5">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ht="13.5">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ht="13.5">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ht="13.5">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ht="13.5">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ht="13.5">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ht="13.5">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ht="13.5">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ht="13.5">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ht="13.5">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ht="13.5">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ht="13.5">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ht="13.5">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ht="13.5">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ht="13.5">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ht="13.5">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ht="13.5">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ht="13.5">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ht="13.5">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ht="13.5">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ht="13.5">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ht="13.5">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ht="13.5">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ht="13.5">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ht="13.5">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ht="13.5">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ht="13.5">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ht="13.5">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ht="13.5">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ht="13.5">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ht="13.5">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ht="13.5">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ht="13.5">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ht="13.5">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ht="13.5">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ht="13.5">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ht="13.5">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ht="13.5">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ht="13.5">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ht="13.5">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ht="13.5">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ht="13.5">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ht="13.5">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ht="13.5">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ht="13.5">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ht="13.5">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ht="13.5">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ht="13.5">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ht="13.5">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ht="13.5">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ht="13.5">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ht="13.5">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ht="13.5">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ht="13.5">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ht="13.5">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ht="13.5">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ht="13.5">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ht="13.5">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ht="13.5">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ht="13.5">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ht="13.5">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ht="13.5">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ht="13.5">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ht="13.5">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ht="13.5">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ht="13.5">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ht="13.5">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ht="13.5">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ht="13.5">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ht="13.5">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ht="13.5">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ht="13.5">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ht="13.5">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ht="13.5">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ht="13.5">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ht="13.5">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ht="13.5">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ht="13.5">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ht="13.5">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ht="13.5">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ht="13.5">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ht="13.5">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ht="13.5">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ht="13.5">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ht="13.5">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ht="13.5">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ht="13.5">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ht="13.5">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ht="13.5">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ht="13.5">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ht="13.5">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ht="13.5">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ht="13.5">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ht="13.5">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ht="13.5">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ht="13.5">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ht="13.5">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ht="13.5">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ht="13.5">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ht="13.5">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ht="13.5">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ht="13.5">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ht="13.5">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ht="13.5">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ht="13.5">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ht="13.5">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ht="13.5">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ht="13.5">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ht="13.5">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ht="13.5">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ht="13.5">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ht="13.5">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ht="13.5">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ht="13.5">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ht="13.5">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ht="13.5">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ht="13.5">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ht="13.5">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ht="13.5">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ht="13.5">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ht="13.5">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ht="13.5">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ht="13.5">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ht="13.5">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ht="13.5">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ht="13.5">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ht="13.5">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ht="13.5">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ht="13.5">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ht="13.5">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ht="13.5">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ht="13.5">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ht="13.5">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ht="13.5">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ht="13.5">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ht="13.5">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ht="13.5">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ht="13.5">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ht="13.5">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ht="13.5">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ht="13.5">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ht="13.5">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ht="13.5">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ht="13.5">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ht="13.5">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ht="13.5">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ht="13.5">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ht="13.5">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ht="13.5">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ht="13.5">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ht="13.5">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ht="13.5">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ht="13.5">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ht="13.5">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ht="13.5">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ht="13.5">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ht="13.5">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ht="13.5">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ht="13.5">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ht="13.5">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ht="13.5">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ht="13.5">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ht="13.5">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ht="13.5">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ht="13.5">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ht="13.5">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ht="13.5">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ht="13.5">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ht="13.5">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ht="13.5">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ht="13.5">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ht="13.5">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ht="13.5">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ht="13.5">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ht="13.5">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ht="13.5">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ht="13.5">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ht="13.5">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ht="13.5">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ht="13.5">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ht="13.5">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ht="13.5">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ht="13.5">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ht="13.5">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ht="13.5">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ht="13.5">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ht="13.5">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ht="13.5">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ht="13.5">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ht="13.5">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ht="13.5">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ht="13.5">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ht="13.5">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ht="13.5">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ht="13.5">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ht="13.5">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ht="13.5">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ht="13.5">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ht="13.5">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ht="13.5">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ht="13.5">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ht="13.5">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ht="13.5">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ht="13.5">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ht="13.5">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ht="13.5">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ht="13.5">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ht="13.5">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ht="13.5">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ht="13.5">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ht="13.5">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ht="13.5">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ht="13.5">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ht="13.5">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ht="13.5">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ht="13.5">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ht="13.5">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ht="13.5">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ht="13.5">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ht="13.5">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ht="13.5">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ht="13.5">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ht="13.5">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ht="13.5">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ht="13.5">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ht="13.5">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ht="13.5">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ht="13.5">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ht="13.5">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ht="13.5">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ht="13.5">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ht="13.5">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ht="13.5">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Augusta, Freedom's Path Augusta III,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1225000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2023PA-029</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3671</v>
      </c>
      <c r="C13" s="1819"/>
      <c r="D13" s="2623"/>
      <c r="E13" s="1622"/>
      <c r="F13" s="1819"/>
      <c r="G13" s="1622"/>
      <c r="H13" s="1622"/>
      <c r="I13" s="1622"/>
      <c r="J13" s="1819"/>
      <c r="K13" s="1819"/>
      <c r="L13" s="2625"/>
      <c r="M13" s="1819"/>
      <c r="N13" s="1819"/>
      <c r="O13" s="1819"/>
      <c r="P13" s="1819"/>
    </row>
    <row r="14" spans="1:26">
      <c r="A14" s="1819"/>
      <c r="B14" s="1819" t="s">
        <v>3294</v>
      </c>
      <c r="C14" s="1819"/>
      <c r="D14" s="1819"/>
      <c r="E14" s="1819"/>
      <c r="F14" s="1819" t="str">
        <f>'Part I-Project Identification'!F15</f>
        <v>Affordable Housing Solutions, Inc.</v>
      </c>
      <c r="G14" s="1819"/>
      <c r="H14" s="1819"/>
      <c r="I14" s="1819" t="s">
        <v>1670</v>
      </c>
      <c r="J14" s="1819" t="str">
        <f>'Part I-Project Identification'!J15</f>
        <v>Judith Caira</v>
      </c>
      <c r="K14" s="1819"/>
      <c r="L14" s="1819"/>
      <c r="M14" s="2623" t="s">
        <v>1839</v>
      </c>
      <c r="N14" s="1819" t="str">
        <f>'Part I-Project Identification'!N15</f>
        <v>Executive Director</v>
      </c>
      <c r="O14" s="1819"/>
      <c r="P14" s="1819"/>
    </row>
    <row r="15" spans="1:26" s="1819" customFormat="1" ht="12.75" customHeight="1">
      <c r="B15" s="2623" t="s">
        <v>1599</v>
      </c>
      <c r="F15" s="2628">
        <f>'Part I-Project Identification'!F16</f>
        <v>4048765895</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c r="B16" s="2623" t="s">
        <v>1842</v>
      </c>
      <c r="F16" s="2631" t="str">
        <f>'Part I-Project Identification'!F17</f>
        <v>judith.caira@AHShome.org</v>
      </c>
      <c r="G16" s="2631"/>
      <c r="H16" s="2631"/>
      <c r="I16" s="2631"/>
      <c r="J16" s="2631"/>
      <c r="K16" s="2631"/>
      <c r="L16" s="2631"/>
      <c r="M16" s="2623" t="s">
        <v>1838</v>
      </c>
      <c r="N16" s="2628">
        <f>'Part I-Project Identification'!N17</f>
        <v>4048765895</v>
      </c>
      <c r="O16" s="2628"/>
      <c r="P16" s="2628"/>
      <c r="Q16" s="357"/>
      <c r="R16" s="357"/>
      <c r="S16" s="357"/>
      <c r="U16" s="2630"/>
      <c r="V16" s="2630"/>
      <c r="W16" s="2630"/>
      <c r="X16" s="2630"/>
      <c r="Z16" s="1622">
        <v>19</v>
      </c>
    </row>
    <row r="17" spans="1:26">
      <c r="A17" s="2615"/>
      <c r="B17" s="2614" t="s">
        <v>3670</v>
      </c>
      <c r="C17" s="378"/>
      <c r="D17" s="1819"/>
      <c r="E17" s="1819"/>
      <c r="F17" s="1819"/>
      <c r="G17" s="1819"/>
      <c r="H17" s="1622"/>
      <c r="I17" s="1819"/>
      <c r="J17" s="378"/>
      <c r="K17" s="1819"/>
      <c r="L17" s="1819"/>
      <c r="M17" s="1819"/>
      <c r="N17" s="1819"/>
      <c r="O17" s="1819"/>
      <c r="P17" s="1622"/>
    </row>
    <row r="18" spans="1:26">
      <c r="A18" s="1819"/>
      <c r="B18" s="1819" t="s">
        <v>3294</v>
      </c>
      <c r="C18" s="1819"/>
      <c r="D18" s="1819"/>
      <c r="E18" s="1819"/>
      <c r="F18" s="1819" t="str">
        <f>'Part I-Project Identification'!F19</f>
        <v>Garrison for Veterans</v>
      </c>
      <c r="G18" s="1819"/>
      <c r="H18" s="1819"/>
      <c r="I18" s="1819" t="s">
        <v>1670</v>
      </c>
      <c r="J18" s="1819" t="str">
        <f>'Part I-Project Identification'!J19</f>
        <v>Terell Brown</v>
      </c>
      <c r="K18" s="1819"/>
      <c r="L18" s="1819"/>
      <c r="M18" s="2623" t="s">
        <v>1839</v>
      </c>
      <c r="N18" s="1819" t="str">
        <f>'Part I-Project Identification'!N19</f>
        <v>Manager</v>
      </c>
      <c r="O18" s="1819"/>
      <c r="P18" s="1819"/>
    </row>
    <row r="19" spans="1:26" s="1819" customFormat="1" ht="12.75" customHeight="1">
      <c r="B19" s="2623" t="s">
        <v>1599</v>
      </c>
      <c r="F19" s="2628">
        <f>'Part I-Project Identification'!F20</f>
        <v>0</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c r="B20" s="2623" t="s">
        <v>1842</v>
      </c>
      <c r="F20" s="2631" t="str">
        <f>'Part I-Project Identification'!F21</f>
        <v>tbrown@gfveterans.com</v>
      </c>
      <c r="G20" s="2631"/>
      <c r="H20" s="2631"/>
      <c r="I20" s="2631"/>
      <c r="J20" s="2631"/>
      <c r="K20" s="2631"/>
      <c r="L20" s="2631"/>
      <c r="M20" s="2623" t="s">
        <v>1838</v>
      </c>
      <c r="N20" s="2628">
        <f>'Part I-Project Identification'!N21</f>
        <v>4046108389</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Freedom's Path Augusta III</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Augusta</v>
      </c>
      <c r="G25" s="1819"/>
      <c r="H25" s="1819"/>
      <c r="I25" s="2632" t="s">
        <v>576</v>
      </c>
      <c r="J25" s="1819" t="str">
        <f>'Part I-Project Identification'!J26</f>
        <v>Richmond</v>
      </c>
      <c r="K25" s="1819"/>
      <c r="L25" s="1819"/>
      <c r="M25" s="2623" t="s">
        <v>426</v>
      </c>
      <c r="N25" s="1819"/>
      <c r="O25" s="1819"/>
      <c r="P25" s="2545" t="str">
        <f>'Part I-Project Identification'!P26</f>
        <v>No</v>
      </c>
    </row>
    <row r="26" spans="1:26" ht="13.5">
      <c r="A26" s="2615"/>
      <c r="B26" s="1819" t="s">
        <v>3905</v>
      </c>
      <c r="C26" s="2633"/>
      <c r="D26" s="1681"/>
      <c r="E26" s="1681"/>
      <c r="F26" s="1819" t="str">
        <f>'Part I-Project Identification'!F27</f>
        <v>City Limits</v>
      </c>
      <c r="G26" s="1819"/>
      <c r="H26" s="1819"/>
      <c r="I26" s="1622"/>
      <c r="J26" s="379" t="s">
        <v>6722</v>
      </c>
      <c r="K26" s="1622"/>
      <c r="L26" s="1819"/>
      <c r="M26" s="2623" t="s">
        <v>6665</v>
      </c>
      <c r="N26" s="1819"/>
      <c r="O26" s="2634">
        <f>'Part I-Project Identification'!O27</f>
        <v>2.46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Augusta-Richmond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6652</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6651</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3931</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Freedom's Path Augusta III, Augusta, Richmond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f>'Part II-Sources of Funds'!E6</f>
        <v>0</v>
      </c>
      <c r="F49" s="2619" t="s">
        <v>6078</v>
      </c>
      <c r="G49" s="1819"/>
      <c r="H49" s="2641"/>
      <c r="I49" s="2643">
        <f>'Part II-Sources of Funds'!I6</f>
        <v>0</v>
      </c>
      <c r="J49" s="359"/>
      <c r="K49" s="2641"/>
      <c r="L49" s="1622">
        <f>'Part II-Sources of Funds'!L6</f>
        <v>0</v>
      </c>
      <c r="M49" s="2619" t="s">
        <v>1437</v>
      </c>
      <c r="N49" s="2641"/>
      <c r="O49" s="2641"/>
      <c r="P49" s="2641"/>
      <c r="Q49" s="2639"/>
    </row>
    <row r="50" spans="1:17" ht="13.5">
      <c r="A50" s="2615"/>
      <c r="B50" s="1622" t="str">
        <f>'Part II-Sources of Funds'!B7</f>
        <v>Yes</v>
      </c>
      <c r="C50" s="2619" t="s">
        <v>3875</v>
      </c>
      <c r="D50" s="1819"/>
      <c r="E50" s="1622">
        <f>'Part II-Sources of Funds'!E7</f>
        <v>0</v>
      </c>
      <c r="F50" s="2619" t="s">
        <v>6079</v>
      </c>
      <c r="G50" s="2641"/>
      <c r="H50" s="2641"/>
      <c r="I50" s="2643">
        <f>'Part II-Sources of Funds'!I7</f>
        <v>0</v>
      </c>
      <c r="J50" s="359"/>
      <c r="K50" s="2641"/>
      <c r="L50" s="1622">
        <f>'Part II-Sources of Funds'!L7</f>
        <v>0</v>
      </c>
      <c r="M50" s="2619" t="s">
        <v>514</v>
      </c>
      <c r="N50" s="2641"/>
      <c r="O50" s="2641"/>
      <c r="P50" s="2639"/>
      <c r="Q50" s="2639"/>
    </row>
    <row r="51" spans="1:17" ht="13.5">
      <c r="A51" s="1819"/>
      <c r="B51" s="1622">
        <f>'Part II-Sources of Funds'!B8</f>
        <v>0</v>
      </c>
      <c r="C51" s="2619" t="s">
        <v>6659</v>
      </c>
      <c r="D51" s="2641"/>
      <c r="E51" s="2641"/>
      <c r="F51" s="2641" t="s">
        <v>6662</v>
      </c>
      <c r="G51" s="2641"/>
      <c r="H51" s="2641" t="str">
        <f>'Part II-Sources of Funds'!H8</f>
        <v>Specify Other HOME Source here</v>
      </c>
      <c r="I51" s="2641"/>
      <c r="J51" s="2641"/>
      <c r="K51" s="2641"/>
      <c r="L51" s="1622">
        <f>'Part II-Sources of Funds'!L8</f>
        <v>0</v>
      </c>
      <c r="M51" s="2619" t="s">
        <v>6664</v>
      </c>
      <c r="N51" s="2641"/>
      <c r="O51" s="2641"/>
      <c r="P51" s="2639"/>
      <c r="Q51" s="2639"/>
    </row>
    <row r="52" spans="1:17" ht="13.5">
      <c r="A52" s="2615"/>
      <c r="B52" s="1622">
        <f>'Part II-Sources of Funds'!B9</f>
        <v>0</v>
      </c>
      <c r="C52" s="2641" t="s">
        <v>3299</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3876</v>
      </c>
      <c r="N52" s="2641"/>
      <c r="O52" s="2641"/>
      <c r="P52" s="2641"/>
      <c r="Q52" s="2639"/>
    </row>
    <row r="53" spans="1:17" ht="13.5">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3192</v>
      </c>
      <c r="N53" s="2641"/>
      <c r="O53" s="2641"/>
      <c r="P53" s="2639"/>
      <c r="Q53" s="2639"/>
    </row>
    <row r="54" spans="1:17" ht="13.5">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5">
      <c r="A55" s="2615"/>
      <c r="B55" s="1622">
        <f>'Part II-Sources of Funds'!B12</f>
        <v>0</v>
      </c>
      <c r="C55" s="2619" t="s">
        <v>3193</v>
      </c>
      <c r="D55" s="2641"/>
      <c r="E55" s="2641"/>
      <c r="F55" s="2641" t="str">
        <f>'Part II-Sources of Funds'!F12</f>
        <v>Specify Source/Administrator of Other STATE/LOCAL Funding here</v>
      </c>
      <c r="G55" s="2641"/>
      <c r="H55" s="2641"/>
      <c r="I55" s="2641"/>
      <c r="J55" s="2641"/>
      <c r="K55" s="2641"/>
      <c r="L55" s="1622">
        <f>'Part II-Sources of Funds'!L12</f>
        <v>0</v>
      </c>
      <c r="M55" s="2641" t="s">
        <v>3219</v>
      </c>
      <c r="N55" s="2641"/>
      <c r="O55" s="2641"/>
      <c r="P55" s="2641"/>
      <c r="Q55" s="2641"/>
    </row>
    <row r="56" spans="1:17" ht="13.5">
      <c r="A56" s="2615"/>
      <c r="B56" s="1622">
        <f>'Part II-Sources of Funds'!B13</f>
        <v>0</v>
      </c>
      <c r="C56" s="2619" t="s">
        <v>6661</v>
      </c>
      <c r="D56" s="2641"/>
      <c r="E56" s="1622" t="str">
        <f>'Part II-Sources of Funds'!E13</f>
        <v>Yes</v>
      </c>
      <c r="F56" s="2619" t="s">
        <v>6663</v>
      </c>
      <c r="G56" s="2641"/>
      <c r="H56" s="2641" t="str">
        <f>'Part II-Sources of Funds'!H13</f>
        <v>Augusta Housing Authority</v>
      </c>
      <c r="I56" s="2641"/>
      <c r="J56" s="2641"/>
      <c r="K56" s="2641"/>
      <c r="L56" s="1622">
        <f>'Part II-Sources of Funds'!L13</f>
        <v>0</v>
      </c>
      <c r="M56" s="2641" t="s">
        <v>6077</v>
      </c>
      <c r="N56" s="2641"/>
      <c r="O56" s="2641"/>
      <c r="P56" s="2641"/>
      <c r="Q56" s="2641"/>
    </row>
    <row r="57" spans="1:17" ht="13.5">
      <c r="A57" s="2615"/>
      <c r="B57" s="1622">
        <f>'Part II-Sources of Funds'!B14</f>
        <v>0</v>
      </c>
      <c r="C57" s="2641" t="s">
        <v>2397</v>
      </c>
      <c r="D57" s="2641"/>
      <c r="E57" s="1622">
        <f>'Part II-Sources of Funds'!E14</f>
        <v>0</v>
      </c>
      <c r="F57" s="2619" t="s">
        <v>3298</v>
      </c>
      <c r="G57" s="2641"/>
      <c r="H57" s="2641"/>
      <c r="I57" s="2641"/>
      <c r="J57" s="2641"/>
      <c r="K57" s="2641"/>
      <c r="L57" s="1622">
        <f>'Part II-Sources of Funds'!L14</f>
        <v>0</v>
      </c>
      <c r="M57" s="2641" t="s">
        <v>6709</v>
      </c>
      <c r="N57" s="2641"/>
      <c r="O57" s="2641"/>
      <c r="P57" s="2641"/>
      <c r="Q57" s="2641"/>
    </row>
    <row r="58" spans="1:17" ht="13.5">
      <c r="A58" s="2615"/>
      <c r="B58" s="1622">
        <f>'Part II-Sources of Funds'!B15</f>
        <v>0</v>
      </c>
      <c r="C58" s="2641" t="s">
        <v>3218</v>
      </c>
      <c r="D58" s="2641"/>
      <c r="E58" s="1622">
        <f>'Part II-Sources of Funds'!E15</f>
        <v>0</v>
      </c>
      <c r="F58" s="2619" t="s">
        <v>6080</v>
      </c>
      <c r="G58" s="2641"/>
      <c r="H58" s="2641"/>
      <c r="I58" s="2641"/>
      <c r="J58" s="2641"/>
      <c r="K58" s="2641"/>
      <c r="L58" s="1622">
        <f>'Part II-Sources of Funds'!L15</f>
        <v>0</v>
      </c>
      <c r="M58" s="2644" t="s">
        <v>6081</v>
      </c>
      <c r="N58" s="2641"/>
      <c r="O58" s="2641"/>
      <c r="P58" s="2641"/>
      <c r="Q58" s="2641"/>
    </row>
    <row r="59" spans="1:17" ht="13.5">
      <c r="A59" s="2615"/>
      <c r="B59" s="1622">
        <f>'Part II-Sources of Funds'!B16</f>
        <v>0</v>
      </c>
      <c r="C59" s="2619" t="s">
        <v>1673</v>
      </c>
      <c r="D59" s="2641"/>
      <c r="E59" s="1622">
        <f>'Part II-Sources of Funds'!E16</f>
        <v>0</v>
      </c>
      <c r="F59" s="2619" t="s">
        <v>6498</v>
      </c>
      <c r="G59" s="2641"/>
      <c r="H59" s="2641"/>
      <c r="I59" s="2643">
        <f>'Part II-Sources of Funds'!I16</f>
        <v>0</v>
      </c>
      <c r="J59" s="359"/>
      <c r="K59" s="2641"/>
      <c r="L59" s="1622">
        <f>'Part II-Sources of Funds'!L16</f>
        <v>0</v>
      </c>
      <c r="M59" s="2644" t="s">
        <v>6076</v>
      </c>
      <c r="N59" s="2641"/>
      <c r="O59" s="2641"/>
      <c r="P59" s="2641"/>
      <c r="Q59" s="2641"/>
    </row>
    <row r="60" spans="1:17" ht="13.5">
      <c r="A60" s="2615"/>
      <c r="B60" s="2641" t="s">
        <v>3877</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3843</v>
      </c>
      <c r="M64" s="1819"/>
      <c r="N64" s="1819" t="s">
        <v>1410</v>
      </c>
      <c r="O64" s="1819"/>
      <c r="P64" s="1819" t="s">
        <v>1523</v>
      </c>
      <c r="Q64" s="1819"/>
    </row>
    <row r="65" spans="1:17" ht="25.5">
      <c r="A65" s="1819"/>
      <c r="B65" s="1819" t="s">
        <v>1486</v>
      </c>
      <c r="C65" s="1819"/>
      <c r="D65" s="1819"/>
      <c r="E65" s="1819"/>
      <c r="F65" s="1819"/>
      <c r="G65" s="1819"/>
      <c r="H65" s="2645" t="str">
        <f>'Part II-Sources of Funds'!H22</f>
        <v>Regions Bank</v>
      </c>
      <c r="I65" s="2645"/>
      <c r="J65" s="2645"/>
      <c r="K65" s="2645"/>
      <c r="L65" s="2547">
        <f>'Part II-Sources of Funds'!L22</f>
        <v>18662037</v>
      </c>
      <c r="M65" s="2547"/>
      <c r="N65" s="2548">
        <f>'Part II-Sources of Funds'!N22</f>
        <v>6.5000000000000002E-2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Regions Affordable Housing</v>
      </c>
      <c r="I71" s="2645"/>
      <c r="J71" s="2645"/>
      <c r="K71" s="2645"/>
      <c r="L71" s="2547">
        <f>'Part II-Sources of Funds'!L28</f>
        <v>2664108</v>
      </c>
      <c r="M71" s="2547"/>
      <c r="N71" s="1819"/>
      <c r="O71" s="2641"/>
      <c r="P71" s="2641"/>
      <c r="Q71" s="1819"/>
    </row>
    <row r="72" spans="1:17" ht="25.5">
      <c r="A72" s="1819"/>
      <c r="B72" s="1819" t="s">
        <v>747</v>
      </c>
      <c r="C72" s="1819"/>
      <c r="D72" s="1819"/>
      <c r="E72" s="1819"/>
      <c r="F72" s="2641"/>
      <c r="G72" s="2641"/>
      <c r="H72" s="2645" t="str">
        <f>'Part II-Sources of Funds'!H29</f>
        <v>Cabretta Capital</v>
      </c>
      <c r="I72" s="2645"/>
      <c r="J72" s="2645"/>
      <c r="K72" s="2645"/>
      <c r="L72" s="2547">
        <f>'Part II-Sources of Funds'!L29</f>
        <v>3087000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24413145</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24412770</v>
      </c>
      <c r="M77" s="2550"/>
      <c r="N77" s="2646"/>
      <c r="O77" s="2641"/>
      <c r="P77" s="2641"/>
      <c r="Q77" s="2641"/>
    </row>
    <row r="78" spans="1:17" ht="13.5">
      <c r="A78" s="1819"/>
      <c r="B78" s="2623" t="s">
        <v>2002</v>
      </c>
      <c r="C78" s="1819"/>
      <c r="D78" s="1819"/>
      <c r="E78" s="1819"/>
      <c r="F78" s="1819"/>
      <c r="G78" s="1819"/>
      <c r="H78" s="1819"/>
      <c r="I78" s="1819"/>
      <c r="J78" s="2641"/>
      <c r="K78" s="2641"/>
      <c r="L78" s="2647">
        <f>L76-L77</f>
        <v>375</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3842</v>
      </c>
      <c r="J82" s="1819"/>
      <c r="K82" s="1622" t="s">
        <v>1675</v>
      </c>
      <c r="L82" s="1622" t="s">
        <v>2046</v>
      </c>
      <c r="M82" s="1622" t="s">
        <v>2046</v>
      </c>
      <c r="N82" s="1819" t="s">
        <v>69</v>
      </c>
      <c r="O82" s="1819"/>
      <c r="P82" s="2646"/>
      <c r="Q82" s="2646"/>
    </row>
    <row r="83" spans="1:17">
      <c r="A83" s="1819"/>
      <c r="B83" s="1819" t="s">
        <v>2402</v>
      </c>
      <c r="C83" s="1819"/>
      <c r="D83" s="1819"/>
      <c r="E83" s="2645">
        <f>'Part II-Sources of Funds'!E40</f>
        <v>0</v>
      </c>
      <c r="F83" s="2645"/>
      <c r="G83" s="2645"/>
      <c r="H83" s="2645"/>
      <c r="I83" s="2648">
        <f>'Part II-Sources of Funds'!I40</f>
        <v>0</v>
      </c>
      <c r="J83" s="1819"/>
      <c r="K83" s="2649">
        <f>'Part II-Sources of Funds'!K40</f>
        <v>0</v>
      </c>
      <c r="L83" s="1622">
        <f>'Part II-Sources of Funds'!L40</f>
        <v>0</v>
      </c>
      <c r="M83" s="1622">
        <f>'Part II-Sources of Funds'!M40</f>
        <v>0</v>
      </c>
      <c r="N83" s="1819">
        <f>'Part II-Sources of Funds'!N40</f>
        <v>0</v>
      </c>
      <c r="O83" s="1819"/>
      <c r="P83" s="2551" t="str">
        <f>'Part II-Sources of Funds'!P40</f>
        <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3942</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0.48553343782654129</v>
      </c>
      <c r="E88" s="2645" t="str">
        <f>'Part II-Sources of Funds'!E45</f>
        <v>Affordable Housing Solutions, Inc.</v>
      </c>
      <c r="F88" s="2645"/>
      <c r="G88" s="2645"/>
      <c r="H88" s="2645"/>
      <c r="I88" s="2648">
        <f>'Part II-Sources of Funds'!I45</f>
        <v>929311</v>
      </c>
      <c r="J88" s="1819"/>
      <c r="K88" s="2649">
        <f>'Part II-Sources of Funds'!K45</f>
        <v>0</v>
      </c>
      <c r="L88" s="1622">
        <f>'Part II-Sources of Funds'!L45</f>
        <v>10</v>
      </c>
      <c r="M88" s="1622">
        <f>'Part II-Sources of Funds'!M45</f>
        <v>10</v>
      </c>
      <c r="N88" s="1819" t="str">
        <f>'Part II-Sources of Funds'!N45</f>
        <v>Cash Flow</v>
      </c>
      <c r="O88" s="1819"/>
      <c r="P88" s="2551">
        <f>'Part II-Sources of Funds'!P45</f>
        <v>92931</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3404</v>
      </c>
      <c r="C90" s="1819"/>
      <c r="D90" s="2641"/>
      <c r="E90" s="2641" t="s">
        <v>3362</v>
      </c>
      <c r="F90" s="2653">
        <f>'Part II-Sources of Funds'!F47</f>
        <v>1570287.0010409139</v>
      </c>
      <c r="G90" s="2641"/>
      <c r="H90" s="2654" t="s">
        <v>3403</v>
      </c>
      <c r="I90" s="2653">
        <f>'Part II-Sources of Funds'!I47</f>
        <v>929311</v>
      </c>
      <c r="J90" s="2641"/>
      <c r="K90" s="2654" t="s">
        <v>3405</v>
      </c>
      <c r="L90" s="2655">
        <f>'Part II-Sources of Funds'!L47</f>
        <v>0.59180964969077443</v>
      </c>
      <c r="M90" s="2655"/>
      <c r="N90" s="2551" t="s">
        <v>3846</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5.5">
      <c r="A94" s="1819"/>
      <c r="B94" s="1819" t="s">
        <v>746</v>
      </c>
      <c r="C94" s="1819"/>
      <c r="D94" s="1819"/>
      <c r="E94" s="2645" t="str">
        <f>'Part II-Sources of Funds'!E51</f>
        <v>Regions Affordable</v>
      </c>
      <c r="F94" s="2645"/>
      <c r="G94" s="2645"/>
      <c r="H94" s="2645"/>
      <c r="I94" s="2648">
        <f>'Part II-Sources of Funds'!I51</f>
        <v>10548794</v>
      </c>
      <c r="J94" s="1819"/>
      <c r="K94" s="2641"/>
      <c r="L94" s="2659">
        <f>'Part II-Sources of Funds'!L51</f>
        <v>10657500</v>
      </c>
      <c r="M94" s="2659"/>
      <c r="N94" s="2660">
        <f>I94-L94</f>
        <v>-108706</v>
      </c>
      <c r="O94" s="2660"/>
      <c r="P94" s="2661">
        <f>I94/I104</f>
        <v>0.39577489202176674</v>
      </c>
      <c r="Q94" s="1819"/>
    </row>
    <row r="95" spans="1:17" ht="25.5">
      <c r="A95" s="1819"/>
      <c r="B95" s="1819" t="s">
        <v>747</v>
      </c>
      <c r="C95" s="1819"/>
      <c r="D95" s="1819"/>
      <c r="E95" s="2645" t="str">
        <f>'Part II-Sources of Funds'!E52</f>
        <v>Cabretta Capital</v>
      </c>
      <c r="F95" s="2645"/>
      <c r="G95" s="2645"/>
      <c r="H95" s="2645"/>
      <c r="I95" s="2648">
        <f>'Part II-Sources of Funds'!I52</f>
        <v>6860000</v>
      </c>
      <c r="J95" s="1819"/>
      <c r="K95" s="2641"/>
      <c r="L95" s="2659">
        <f>'Part II-Sources of Funds'!L52</f>
        <v>6860000.0000000009</v>
      </c>
      <c r="M95" s="2659"/>
      <c r="N95" s="2660">
        <f>I95-L95</f>
        <v>0</v>
      </c>
      <c r="O95" s="2660"/>
      <c r="P95" s="2661">
        <f>I95/I104</f>
        <v>0.25737688680519494</v>
      </c>
      <c r="Q95" s="1819"/>
    </row>
    <row r="96" spans="1:17" ht="25.5">
      <c r="A96" s="1819"/>
      <c r="B96" s="1819" t="s">
        <v>1331</v>
      </c>
      <c r="C96" s="1819"/>
      <c r="D96" s="1819"/>
      <c r="E96" s="2645" t="str">
        <f>'Part II-Sources of Funds'!E53</f>
        <v>Regions Affordable</v>
      </c>
      <c r="F96" s="2645"/>
      <c r="G96" s="2645"/>
      <c r="H96" s="2645"/>
      <c r="I96" s="2648">
        <f>'Part II-Sources of Funds'!I53</f>
        <v>4715415</v>
      </c>
      <c r="J96" s="1819"/>
      <c r="K96" s="2641"/>
      <c r="L96" s="2641"/>
      <c r="M96" s="2641"/>
      <c r="N96" s="2641"/>
      <c r="O96" s="2641"/>
      <c r="P96" s="2661">
        <f>SUM(P94:P95)</f>
        <v>0.65315177882696163</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38.25">
      <c r="A100" s="1819"/>
      <c r="B100" s="1819" t="s">
        <v>690</v>
      </c>
      <c r="C100" s="2645" t="str">
        <f>'Part II-Sources of Funds'!C57</f>
        <v>State Historic Equity</v>
      </c>
      <c r="D100" s="2645"/>
      <c r="E100" s="2645" t="str">
        <f>'Part II-Sources of Funds'!E57</f>
        <v>Cabretta Capital</v>
      </c>
      <c r="F100" s="2645"/>
      <c r="G100" s="2645"/>
      <c r="H100" s="2645"/>
      <c r="I100" s="2648">
        <f>'Part II-Sources of Funds'!I57</f>
        <v>3600000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26653520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26653520</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3943</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equity check calculation does not match up with the percentages for this project.  Regions will have a 98.99% interest.  Cabretta will have a 1% interest and the GP will have a .01% interest.  Using the correct percentage multiplier for Regions will produce the equity number in the Sources column for Regions LIHTC equity.</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Freedom's Path Augusta III,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10000</v>
      </c>
      <c r="H122" s="2547"/>
      <c r="I122" s="1819"/>
      <c r="J122" s="2547">
        <f>'Part III-A-Uses of Funds'!J9</f>
        <v>0</v>
      </c>
      <c r="K122" s="2547"/>
      <c r="L122" s="2545"/>
      <c r="M122" s="2547">
        <f>'Part III-A-Uses of Funds'!M9</f>
        <v>0</v>
      </c>
      <c r="N122" s="2547"/>
      <c r="O122" s="1819"/>
      <c r="P122" s="2547">
        <f>'Part III-A-Uses of Funds'!P9</f>
        <v>10000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10000</v>
      </c>
      <c r="H123" s="2547"/>
      <c r="I123" s="1819"/>
      <c r="J123" s="2547">
        <f>'Part III-A-Uses of Funds'!J10</f>
        <v>0</v>
      </c>
      <c r="K123" s="2547"/>
      <c r="L123" s="2545"/>
      <c r="M123" s="2547">
        <f>'Part III-A-Uses of Funds'!M10</f>
        <v>0</v>
      </c>
      <c r="N123" s="2547"/>
      <c r="O123" s="1819"/>
      <c r="P123" s="2547">
        <f>'Part III-A-Uses of Funds'!P10</f>
        <v>10000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45000</v>
      </c>
      <c r="H124" s="2547"/>
      <c r="I124" s="1819"/>
      <c r="J124" s="2547">
        <f>'Part III-A-Uses of Funds'!J11</f>
        <v>0</v>
      </c>
      <c r="K124" s="2547"/>
      <c r="L124" s="2545"/>
      <c r="M124" s="2547">
        <f>'Part III-A-Uses of Funds'!M11</f>
        <v>0</v>
      </c>
      <c r="N124" s="2547"/>
      <c r="O124" s="1819"/>
      <c r="P124" s="2547">
        <f>'Part III-A-Uses of Funds'!P11</f>
        <v>45000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10000</v>
      </c>
      <c r="H126" s="2547"/>
      <c r="I126" s="1819"/>
      <c r="J126" s="2547">
        <f>'Part III-A-Uses of Funds'!J13</f>
        <v>0</v>
      </c>
      <c r="K126" s="2547"/>
      <c r="L126" s="2545"/>
      <c r="M126" s="2547">
        <f>'Part III-A-Uses of Funds'!M13</f>
        <v>0</v>
      </c>
      <c r="N126" s="2547"/>
      <c r="O126" s="1819"/>
      <c r="P126" s="2547">
        <f>'Part III-A-Uses of Funds'!P13</f>
        <v>10000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6270</v>
      </c>
      <c r="C128" s="2667" t="str">
        <f>'Part III-A-Uses of Funds'!C15</f>
        <v>Historic Consultant and Fees</v>
      </c>
      <c r="D128" s="2667"/>
      <c r="E128" s="2667"/>
      <c r="F128" s="2667"/>
      <c r="G128" s="2547">
        <f>'Part III-A-Uses of Funds'!G15</f>
        <v>60000</v>
      </c>
      <c r="H128" s="2547"/>
      <c r="I128" s="1819"/>
      <c r="J128" s="2547">
        <f>'Part III-A-Uses of Funds'!J15</f>
        <v>0</v>
      </c>
      <c r="K128" s="2547"/>
      <c r="L128" s="2545"/>
      <c r="M128" s="2547">
        <f>'Part III-A-Uses of Funds'!M15</f>
        <v>0</v>
      </c>
      <c r="N128" s="2547"/>
      <c r="O128" s="1819"/>
      <c r="P128" s="2547">
        <f>'Part III-A-Uses of Funds'!P15</f>
        <v>60000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6271</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6272</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135000</v>
      </c>
      <c r="H131" s="2547"/>
      <c r="I131" s="1819"/>
      <c r="J131" s="2547">
        <f>SUM(J122:J130)</f>
        <v>0</v>
      </c>
      <c r="K131" s="2547"/>
      <c r="L131" s="2545"/>
      <c r="M131" s="2547">
        <f>SUM(M122:M130)</f>
        <v>0</v>
      </c>
      <c r="N131" s="2547"/>
      <c r="O131" s="1819"/>
      <c r="P131" s="2547">
        <f>SUM(P122:P130)</f>
        <v>135000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0</v>
      </c>
      <c r="G133" s="2547">
        <f>'Part III-A-Uses of Funds'!G20</f>
        <v>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314934.14634146343</v>
      </c>
      <c r="G139" s="2547">
        <f>'Part III-A-Uses of Funds'!G26</f>
        <v>774738</v>
      </c>
      <c r="H139" s="2547"/>
      <c r="I139" s="1819"/>
      <c r="J139" s="2547">
        <f>'Part III-A-Uses of Funds'!J26</f>
        <v>0</v>
      </c>
      <c r="K139" s="2547"/>
      <c r="L139" s="2545"/>
      <c r="M139" s="2547">
        <f>'Part III-A-Uses of Funds'!M26</f>
        <v>0</v>
      </c>
      <c r="N139" s="2547"/>
      <c r="O139" s="1819"/>
      <c r="P139" s="2547">
        <f>'Part III-A-Uses of Funds'!P26</f>
        <v>774738</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774738</v>
      </c>
      <c r="H141" s="2547"/>
      <c r="I141" s="1819"/>
      <c r="J141" s="2547">
        <f>SUM(J139:J140)</f>
        <v>0</v>
      </c>
      <c r="K141" s="2547"/>
      <c r="L141" s="2545"/>
      <c r="M141" s="2547">
        <f>M139</f>
        <v>0</v>
      </c>
      <c r="N141" s="2547"/>
      <c r="O141" s="1819"/>
      <c r="P141" s="2547">
        <f>P139</f>
        <v>774738</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17541301</v>
      </c>
      <c r="H144" s="2547"/>
      <c r="I144" s="1819"/>
      <c r="J144" s="2547">
        <f>'Part III-A-Uses of Funds'!J31</f>
        <v>0</v>
      </c>
      <c r="K144" s="2547"/>
      <c r="L144" s="2545"/>
      <c r="M144" s="2547">
        <f>'Part III-A-Uses of Funds'!M31</f>
        <v>0</v>
      </c>
      <c r="N144" s="2547"/>
      <c r="O144" s="1819"/>
      <c r="P144" s="2547">
        <f>'Part III-A-Uses of Funds'!P31</f>
        <v>17541301</v>
      </c>
      <c r="Q144" s="2547"/>
      <c r="R144" s="1819"/>
      <c r="S144" s="2547">
        <f>'Part III-A-Uses of Funds'!S31</f>
        <v>0</v>
      </c>
      <c r="T144" s="2547"/>
      <c r="U144" s="1819"/>
      <c r="V144" s="2665"/>
    </row>
    <row r="145" spans="1:22">
      <c r="A145" s="1819"/>
      <c r="B145" s="1819" t="s">
        <v>6087</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6085</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6086</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17541301</v>
      </c>
      <c r="H149" s="2547"/>
      <c r="I149" s="1819"/>
      <c r="J149" s="2547">
        <f>SUM(J143:J148)</f>
        <v>0</v>
      </c>
      <c r="K149" s="2547"/>
      <c r="L149" s="2545"/>
      <c r="M149" s="2547">
        <f>SUM(M143:M148)</f>
        <v>0</v>
      </c>
      <c r="N149" s="2547"/>
      <c r="O149" s="1819"/>
      <c r="P149" s="2547">
        <f>SUM(P143:P148)</f>
        <v>17541301</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1098962</v>
      </c>
      <c r="F151" s="2676">
        <f>IF(($G$24+$G$32)=0,0,G151/($G$24+$G$32))</f>
        <v>0</v>
      </c>
      <c r="G151" s="2547">
        <f>'Part III-A-Uses of Funds'!G38</f>
        <v>882741</v>
      </c>
      <c r="H151" s="2547"/>
      <c r="I151" s="1819"/>
      <c r="J151" s="2547">
        <f>'Part III-A-Uses of Funds'!J38</f>
        <v>0</v>
      </c>
      <c r="K151" s="2547"/>
      <c r="L151" s="2545"/>
      <c r="M151" s="2547">
        <f>'Part III-A-Uses of Funds'!M38</f>
        <v>0</v>
      </c>
      <c r="N151" s="2547"/>
      <c r="O151" s="1819"/>
      <c r="P151" s="2547">
        <f>'Part III-A-Uses of Funds'!P38</f>
        <v>882741</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366320</v>
      </c>
      <c r="F152" s="2676">
        <f>IF(($G$24+$G$32)=0,0,G152/($G$24+$G$32))</f>
        <v>0</v>
      </c>
      <c r="G152" s="2547">
        <f>'Part III-A-Uses of Funds'!G39</f>
        <v>294247</v>
      </c>
      <c r="H152" s="2547"/>
      <c r="I152" s="378"/>
      <c r="J152" s="2547">
        <f>'Part III-A-Uses of Funds'!J39</f>
        <v>0</v>
      </c>
      <c r="K152" s="2547"/>
      <c r="L152" s="2545"/>
      <c r="M152" s="2547">
        <f>'Part III-A-Uses of Funds'!M39</f>
        <v>0</v>
      </c>
      <c r="N152" s="2547"/>
      <c r="O152" s="1819"/>
      <c r="P152" s="2547">
        <f>'Part III-A-Uses of Funds'!P39</f>
        <v>294247</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1098962</v>
      </c>
      <c r="F153" s="2676">
        <f>IF(($G$24+$G$32)=0,0,G153/($G$24+$G$32))</f>
        <v>0</v>
      </c>
      <c r="G153" s="2547">
        <f>'Part III-A-Uses of Funds'!G40</f>
        <v>882741</v>
      </c>
      <c r="H153" s="2547"/>
      <c r="I153" s="378"/>
      <c r="J153" s="2547">
        <f>'Part III-A-Uses of Funds'!J40</f>
        <v>0</v>
      </c>
      <c r="K153" s="2547"/>
      <c r="L153" s="2545"/>
      <c r="M153" s="2547">
        <f>'Part III-A-Uses of Funds'!M40</f>
        <v>0</v>
      </c>
      <c r="N153" s="2547"/>
      <c r="O153" s="1819"/>
      <c r="P153" s="2547">
        <f>'Part III-A-Uses of Funds'!P40</f>
        <v>882741</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2564244</v>
      </c>
      <c r="F154" s="2669" t="s">
        <v>184</v>
      </c>
      <c r="G154" s="2547">
        <f>SUM(G151:G153)</f>
        <v>2059729</v>
      </c>
      <c r="H154" s="2547"/>
      <c r="I154" s="1819"/>
      <c r="J154" s="2547">
        <f>SUM(J151:J153)</f>
        <v>0</v>
      </c>
      <c r="K154" s="2547"/>
      <c r="L154" s="2545"/>
      <c r="M154" s="2547">
        <f>SUM(M151:M153)</f>
        <v>0</v>
      </c>
      <c r="N154" s="2547"/>
      <c r="O154" s="1819"/>
      <c r="P154" s="2547">
        <f>SUM(P151:P153)</f>
        <v>2059729</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6488</v>
      </c>
      <c r="D156" s="1819"/>
      <c r="E156" s="2615"/>
      <c r="F156" s="2615"/>
      <c r="G156" s="2679">
        <f>G141+G149+G154</f>
        <v>20375768</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6273</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268102.21052631579</v>
      </c>
      <c r="G161" s="2682" t="s">
        <v>6956</v>
      </c>
      <c r="H161" s="1819"/>
      <c r="I161" s="1819"/>
      <c r="J161" s="2558">
        <f>C162/'Part V-Revenues &amp; Expenses'!$P$67</f>
        <v>268102.21052631579</v>
      </c>
      <c r="K161" s="2558"/>
      <c r="L161" s="1819"/>
      <c r="M161" s="2683" t="s">
        <v>6474</v>
      </c>
      <c r="N161" s="2683"/>
      <c r="O161" s="1819"/>
      <c r="P161" s="2558">
        <f>C162/'Part V-Revenues &amp; Expenses'!$K$175</f>
        <v>257.85583396608456</v>
      </c>
      <c r="Q161" s="2558"/>
      <c r="R161" s="1819"/>
      <c r="S161" s="2684" t="s">
        <v>6476</v>
      </c>
      <c r="T161" s="2684"/>
      <c r="U161" s="1819"/>
      <c r="V161" s="2665"/>
    </row>
    <row r="162" spans="1:22" ht="13.5">
      <c r="A162" s="1819"/>
      <c r="B162" s="2685" t="s">
        <v>6487</v>
      </c>
      <c r="C162" s="2686">
        <f>G141+G149+G154+G159</f>
        <v>20375768</v>
      </c>
      <c r="D162" s="1819"/>
      <c r="E162" s="2616"/>
      <c r="F162" s="2557">
        <f>C162/'Part V-Revenues &amp; Expenses'!$P$166</f>
        <v>484.21501901140687</v>
      </c>
      <c r="G162" s="2684" t="s">
        <v>6957</v>
      </c>
      <c r="H162" s="1819"/>
      <c r="I162" s="1819"/>
      <c r="J162" s="2558">
        <f>C162/'Part V-Revenues &amp; Expenses'!$P$168</f>
        <v>484.21501901140687</v>
      </c>
      <c r="K162" s="2558"/>
      <c r="L162" s="1819"/>
      <c r="M162" s="2684" t="s">
        <v>6475</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6295</v>
      </c>
      <c r="C167" s="1819"/>
      <c r="D167" s="1819"/>
      <c r="E167" s="1819"/>
      <c r="F167" s="1320" t="s">
        <v>3409</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3408</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2037576.8</v>
      </c>
      <c r="F168" s="2650">
        <f>G168/C162</f>
        <v>7.361685704313084E-2</v>
      </c>
      <c r="G168" s="2547">
        <f>'Part III-A-Uses of Funds'!G55</f>
        <v>1500000</v>
      </c>
      <c r="H168" s="2547"/>
      <c r="I168" s="1819"/>
      <c r="J168" s="2547">
        <f>'Part III-A-Uses of Funds'!J55</f>
        <v>0</v>
      </c>
      <c r="K168" s="2547"/>
      <c r="L168" s="2545"/>
      <c r="M168" s="2547">
        <f>'Part III-A-Uses of Funds'!M55</f>
        <v>0</v>
      </c>
      <c r="N168" s="2547"/>
      <c r="O168" s="1819"/>
      <c r="P168" s="2547">
        <f>'Part III-A-Uses of Funds'!P55</f>
        <v>1500000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6296</v>
      </c>
      <c r="C170" s="2681"/>
      <c r="D170" s="1819"/>
      <c r="E170" s="2616" t="s">
        <v>6297</v>
      </c>
      <c r="F170" s="2557">
        <f>B171/'Part V-Revenues &amp; Expenses'!$P$65</f>
        <v>287839.05263157893</v>
      </c>
      <c r="G170" s="2682" t="s">
        <v>6956</v>
      </c>
      <c r="H170" s="1819"/>
      <c r="I170" s="1819"/>
      <c r="J170" s="2558">
        <f>B171/'Part V-Revenues &amp; Expenses'!$P$67</f>
        <v>287839.05263157893</v>
      </c>
      <c r="K170" s="2558"/>
      <c r="L170" s="1819"/>
      <c r="M170" s="2683" t="s">
        <v>6474</v>
      </c>
      <c r="N170" s="2683"/>
      <c r="O170" s="1819"/>
      <c r="P170" s="2558">
        <f>B171/'Part V-Revenues &amp; Expenses'!$K$175</f>
        <v>276.83837003290307</v>
      </c>
      <c r="Q170" s="2558"/>
      <c r="R170" s="1819"/>
      <c r="S170" s="2684" t="s">
        <v>6476</v>
      </c>
      <c r="T170" s="2684"/>
      <c r="U170" s="1819"/>
      <c r="V170" s="2665"/>
    </row>
    <row r="171" spans="1:22">
      <c r="A171" s="1819"/>
      <c r="B171" s="2686">
        <f>C162+G168</f>
        <v>21875768</v>
      </c>
      <c r="C171" s="2686"/>
      <c r="D171" s="1819"/>
      <c r="E171" s="2616"/>
      <c r="F171" s="2557">
        <f>B171/'Part V-Revenues &amp; Expenses'!$P$166</f>
        <v>519.86140684410645</v>
      </c>
      <c r="G171" s="2684" t="s">
        <v>6957</v>
      </c>
      <c r="H171" s="1819"/>
      <c r="I171" s="1819"/>
      <c r="J171" s="2558">
        <f>B171/'Part V-Revenues &amp; Expenses'!$P$168</f>
        <v>519.86140684410645</v>
      </c>
      <c r="K171" s="2558"/>
      <c r="L171" s="1819"/>
      <c r="M171" s="2684" t="s">
        <v>6475</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186620</v>
      </c>
      <c r="H176" s="2547"/>
      <c r="I176" s="1819"/>
      <c r="J176" s="2547">
        <f>'Part III-A-Uses of Funds'!J63</f>
        <v>0</v>
      </c>
      <c r="K176" s="2547"/>
      <c r="L176" s="2545"/>
      <c r="M176" s="2547">
        <f>'Part III-A-Uses of Funds'!M63</f>
        <v>0</v>
      </c>
      <c r="N176" s="2547"/>
      <c r="O176" s="1819"/>
      <c r="P176" s="2547">
        <f>'Part III-A-Uses of Funds'!P63</f>
        <v>186620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890000</v>
      </c>
      <c r="H177" s="2547"/>
      <c r="I177" s="1819"/>
      <c r="J177" s="2547">
        <f>'Part III-A-Uses of Funds'!J64</f>
        <v>0</v>
      </c>
      <c r="K177" s="2547"/>
      <c r="L177" s="2545"/>
      <c r="M177" s="2547">
        <f>'Part III-A-Uses of Funds'!M64</f>
        <v>0</v>
      </c>
      <c r="N177" s="2547"/>
      <c r="O177" s="1819"/>
      <c r="P177" s="2547">
        <f>'Part III-A-Uses of Funds'!P64</f>
        <v>890000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55000</v>
      </c>
      <c r="H178" s="2547"/>
      <c r="I178" s="1819"/>
      <c r="J178" s="2547">
        <f>'Part III-A-Uses of Funds'!J65</f>
        <v>0</v>
      </c>
      <c r="K178" s="2547"/>
      <c r="L178" s="2545"/>
      <c r="M178" s="2547">
        <f>'Part III-A-Uses of Funds'!M65</f>
        <v>0</v>
      </c>
      <c r="N178" s="2547"/>
      <c r="O178" s="1819"/>
      <c r="P178" s="2547">
        <f>'Part III-A-Uses of Funds'!P65</f>
        <v>55000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18000</v>
      </c>
      <c r="H179" s="2547"/>
      <c r="I179" s="1819"/>
      <c r="J179" s="2547">
        <f>'Part III-A-Uses of Funds'!J66</f>
        <v>0</v>
      </c>
      <c r="K179" s="2547"/>
      <c r="L179" s="2545"/>
      <c r="M179" s="2547">
        <f>'Part III-A-Uses of Funds'!M66</f>
        <v>0</v>
      </c>
      <c r="N179" s="2547"/>
      <c r="O179" s="1819"/>
      <c r="P179" s="2547">
        <f>'Part III-A-Uses of Funds'!P66</f>
        <v>18000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75000</v>
      </c>
      <c r="H181" s="2547"/>
      <c r="I181" s="1819"/>
      <c r="J181" s="2547">
        <f>'Part III-A-Uses of Funds'!J68</f>
        <v>0</v>
      </c>
      <c r="K181" s="2547"/>
      <c r="L181" s="2545"/>
      <c r="M181" s="2547">
        <f>'Part III-A-Uses of Funds'!M68</f>
        <v>0</v>
      </c>
      <c r="N181" s="2547"/>
      <c r="O181" s="1819"/>
      <c r="P181" s="2547">
        <f>'Part III-A-Uses of Funds'!P68</f>
        <v>75000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20000</v>
      </c>
      <c r="H182" s="2547"/>
      <c r="I182" s="1819"/>
      <c r="J182" s="2547">
        <f>'Part III-A-Uses of Funds'!J69</f>
        <v>0</v>
      </c>
      <c r="K182" s="2547"/>
      <c r="L182" s="2545"/>
      <c r="M182" s="2547">
        <f>'Part III-A-Uses of Funds'!M69</f>
        <v>0</v>
      </c>
      <c r="N182" s="2547"/>
      <c r="O182" s="1819"/>
      <c r="P182" s="2547">
        <f>'Part III-A-Uses of Funds'!P69</f>
        <v>20000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131560</v>
      </c>
      <c r="H183" s="2547"/>
      <c r="I183" s="378"/>
      <c r="J183" s="2547">
        <f>'Part III-A-Uses of Funds'!J70</f>
        <v>0</v>
      </c>
      <c r="K183" s="2547"/>
      <c r="L183" s="2545"/>
      <c r="M183" s="2547">
        <f>'Part III-A-Uses of Funds'!M70</f>
        <v>0</v>
      </c>
      <c r="N183" s="2547"/>
      <c r="O183" s="1819"/>
      <c r="P183" s="2547">
        <f>'Part III-A-Uses of Funds'!P70</f>
        <v>131560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6275</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6276</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1376180</v>
      </c>
      <c r="H186" s="2547"/>
      <c r="I186" s="1819"/>
      <c r="J186" s="2547">
        <f>SUM(J174:J185)</f>
        <v>0</v>
      </c>
      <c r="K186" s="2547"/>
      <c r="L186" s="2545"/>
      <c r="M186" s="2547">
        <f>SUM(M174:M185)</f>
        <v>0</v>
      </c>
      <c r="N186" s="2547"/>
      <c r="O186" s="1819"/>
      <c r="P186" s="2547">
        <f>SUM(P174:P185)</f>
        <v>1376180</v>
      </c>
      <c r="Q186" s="2547"/>
      <c r="R186" s="1819"/>
      <c r="S186" s="2547">
        <f>SUM(S174:S185)</f>
        <v>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375000</v>
      </c>
      <c r="H188" s="2547"/>
      <c r="I188" s="1819"/>
      <c r="J188" s="2547">
        <f>'Part III-A-Uses of Funds'!J75</f>
        <v>0</v>
      </c>
      <c r="K188" s="2547"/>
      <c r="L188" s="2545"/>
      <c r="M188" s="2547">
        <f>'Part III-A-Uses of Funds'!M75</f>
        <v>0</v>
      </c>
      <c r="N188" s="2547"/>
      <c r="O188" s="1819"/>
      <c r="P188" s="2547">
        <f>'Part III-A-Uses of Funds'!P75</f>
        <v>375000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30000</v>
      </c>
      <c r="H189" s="2547"/>
      <c r="I189" s="1819"/>
      <c r="J189" s="2547">
        <f>'Part III-A-Uses of Funds'!J76</f>
        <v>0</v>
      </c>
      <c r="K189" s="2547"/>
      <c r="L189" s="2545"/>
      <c r="M189" s="2547">
        <f>'Part III-A-Uses of Funds'!M76</f>
        <v>0</v>
      </c>
      <c r="N189" s="2547"/>
      <c r="O189" s="1819"/>
      <c r="P189" s="2547">
        <f>'Part III-A-Uses of Funds'!P76</f>
        <v>30000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33500</v>
      </c>
      <c r="H190" s="2547"/>
      <c r="I190" s="1819"/>
      <c r="J190" s="2547">
        <f>'Part III-A-Uses of Funds'!J77</f>
        <v>0</v>
      </c>
      <c r="K190" s="2547"/>
      <c r="L190" s="2545"/>
      <c r="M190" s="2547">
        <f>'Part III-A-Uses of Funds'!M77</f>
        <v>0</v>
      </c>
      <c r="N190" s="2547"/>
      <c r="O190" s="1819"/>
      <c r="P190" s="2547">
        <f>'Part III-A-Uses of Funds'!P77</f>
        <v>33500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9000</v>
      </c>
      <c r="H191" s="2547"/>
      <c r="I191" s="1819"/>
      <c r="J191" s="2547">
        <f>'Part III-A-Uses of Funds'!J78</f>
        <v>0</v>
      </c>
      <c r="K191" s="2547"/>
      <c r="L191" s="2545"/>
      <c r="M191" s="2547">
        <f>'Part III-A-Uses of Funds'!M78</f>
        <v>0</v>
      </c>
      <c r="N191" s="2547"/>
      <c r="O191" s="1819"/>
      <c r="P191" s="2547">
        <f>'Part III-A-Uses of Funds'!P78</f>
        <v>9000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20000</v>
      </c>
      <c r="H192" s="2547"/>
      <c r="I192" s="1819"/>
      <c r="J192" s="2547">
        <f>'Part III-A-Uses of Funds'!J79</f>
        <v>0</v>
      </c>
      <c r="K192" s="2547"/>
      <c r="L192" s="2545"/>
      <c r="M192" s="2547">
        <f>'Part III-A-Uses of Funds'!M79</f>
        <v>0</v>
      </c>
      <c r="N192" s="2547"/>
      <c r="O192" s="1819"/>
      <c r="P192" s="2547">
        <f>'Part III-A-Uses of Funds'!P79</f>
        <v>20000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10000</v>
      </c>
      <c r="H193" s="2547"/>
      <c r="I193" s="1819"/>
      <c r="J193" s="2547">
        <f>'Part III-A-Uses of Funds'!J80</f>
        <v>0</v>
      </c>
      <c r="K193" s="2547"/>
      <c r="L193" s="2545"/>
      <c r="M193" s="2547">
        <f>'Part III-A-Uses of Funds'!M80</f>
        <v>0</v>
      </c>
      <c r="N193" s="2547"/>
      <c r="O193" s="1819"/>
      <c r="P193" s="2547">
        <f>'Part III-A-Uses of Funds'!P80</f>
        <v>10000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30000</v>
      </c>
      <c r="H194" s="2547"/>
      <c r="I194" s="1819"/>
      <c r="J194" s="2547">
        <f>'Part III-A-Uses of Funds'!J81</f>
        <v>0</v>
      </c>
      <c r="K194" s="2547"/>
      <c r="L194" s="2545"/>
      <c r="M194" s="2547">
        <f>'Part III-A-Uses of Funds'!M81</f>
        <v>0</v>
      </c>
      <c r="N194" s="2547"/>
      <c r="O194" s="1819"/>
      <c r="P194" s="2547">
        <f>'Part III-A-Uses of Funds'!P81</f>
        <v>30000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150000</v>
      </c>
      <c r="H195" s="2547"/>
      <c r="I195" s="1819"/>
      <c r="J195" s="2547">
        <f>'Part III-A-Uses of Funds'!J82</f>
        <v>0</v>
      </c>
      <c r="K195" s="2547"/>
      <c r="L195" s="2545"/>
      <c r="M195" s="2547">
        <f>'Part III-A-Uses of Funds'!M82</f>
        <v>0</v>
      </c>
      <c r="N195" s="2547"/>
      <c r="O195" s="1819"/>
      <c r="P195" s="2547">
        <f>'Part III-A-Uses of Funds'!P82</f>
        <v>150000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60000</v>
      </c>
      <c r="H196" s="2547"/>
      <c r="I196" s="1819"/>
      <c r="J196" s="2547">
        <f>'Part III-A-Uses of Funds'!J83</f>
        <v>0</v>
      </c>
      <c r="K196" s="2547"/>
      <c r="L196" s="2545"/>
      <c r="M196" s="2547">
        <f>'Part III-A-Uses of Funds'!M83</f>
        <v>0</v>
      </c>
      <c r="N196" s="2547"/>
      <c r="O196" s="1819"/>
      <c r="P196" s="2547">
        <f>'Part III-A-Uses of Funds'!P83</f>
        <v>60000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2500</v>
      </c>
      <c r="H197" s="2547"/>
      <c r="I197" s="1819"/>
      <c r="J197" s="2547">
        <f>'Part III-A-Uses of Funds'!J84</f>
        <v>0</v>
      </c>
      <c r="K197" s="2547"/>
      <c r="L197" s="2545"/>
      <c r="M197" s="2547">
        <f>'Part III-A-Uses of Funds'!M84</f>
        <v>0</v>
      </c>
      <c r="N197" s="2547"/>
      <c r="O197" s="1819"/>
      <c r="P197" s="2547">
        <f>'Part III-A-Uses of Funds'!P84</f>
        <v>2500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6277</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720000</v>
      </c>
      <c r="H199" s="2547"/>
      <c r="I199" s="1819"/>
      <c r="J199" s="2547">
        <f>SUM(J188:J198)</f>
        <v>0</v>
      </c>
      <c r="K199" s="2547"/>
      <c r="L199" s="2545"/>
      <c r="M199" s="2547">
        <f>SUM(M188:M198)</f>
        <v>0</v>
      </c>
      <c r="N199" s="2547"/>
      <c r="O199" s="1819"/>
      <c r="P199" s="2547">
        <f>SUM(P188:P198)</f>
        <v>720000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361.4736842105263</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0</v>
      </c>
      <c r="H201" s="2547"/>
      <c r="I201" s="1819"/>
      <c r="J201" s="2547">
        <f>'Part III-A-Uses of Funds'!J88</f>
        <v>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8472</v>
      </c>
      <c r="H203" s="2547"/>
      <c r="I203" s="378"/>
      <c r="J203" s="2547">
        <f>'Part III-A-Uses of Funds'!J90</f>
        <v>0</v>
      </c>
      <c r="K203" s="2547"/>
      <c r="L203" s="2545"/>
      <c r="M203" s="2547">
        <f>'Part III-A-Uses of Funds'!M90</f>
        <v>0</v>
      </c>
      <c r="N203" s="2547"/>
      <c r="O203" s="1819"/>
      <c r="P203" s="2547">
        <f>'Part III-A-Uses of Funds'!P90</f>
        <v>8472</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19000</v>
      </c>
      <c r="H204" s="2547"/>
      <c r="I204" s="378"/>
      <c r="J204" s="2547">
        <f>'Part III-A-Uses of Funds'!J91</f>
        <v>0</v>
      </c>
      <c r="K204" s="2547"/>
      <c r="L204" s="2545"/>
      <c r="M204" s="2547">
        <f>'Part III-A-Uses of Funds'!M91</f>
        <v>0</v>
      </c>
      <c r="N204" s="2547"/>
      <c r="O204" s="1819"/>
      <c r="P204" s="2547">
        <f>'Part III-A-Uses of Funds'!P91</f>
        <v>19000</v>
      </c>
      <c r="Q204" s="2547"/>
      <c r="R204" s="1819"/>
      <c r="S204" s="2547">
        <f>'Part III-A-Uses of Funds'!S91</f>
        <v>0</v>
      </c>
      <c r="T204" s="2547"/>
      <c r="U204" s="1819"/>
      <c r="V204" s="2665"/>
    </row>
    <row r="205" spans="1:22">
      <c r="A205" s="1819"/>
      <c r="B205" s="1819"/>
      <c r="C205" s="1819"/>
      <c r="D205" s="1819"/>
      <c r="E205" s="1819"/>
      <c r="F205" s="2669" t="s">
        <v>184</v>
      </c>
      <c r="G205" s="2547">
        <f>SUM(G201:G204)</f>
        <v>27472</v>
      </c>
      <c r="H205" s="2547"/>
      <c r="I205" s="1819"/>
      <c r="J205" s="2547">
        <f>SUM(J201:J204)</f>
        <v>0</v>
      </c>
      <c r="K205" s="2547"/>
      <c r="L205" s="2545"/>
      <c r="M205" s="2547">
        <f>SUM(M201:M204)</f>
        <v>0</v>
      </c>
      <c r="N205" s="2547"/>
      <c r="O205" s="1819"/>
      <c r="P205" s="2547">
        <f>SUM(P201:P204)</f>
        <v>27472</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6278</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3924</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6702</v>
      </c>
      <c r="X218" s="1819"/>
      <c r="Y218" s="403" t="s">
        <v>6644</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76</v>
      </c>
      <c r="AC219" s="1819"/>
      <c r="AD219" s="1819"/>
      <c r="AE219" s="1819"/>
      <c r="AF219" s="1819"/>
      <c r="AG219" s="1819"/>
    </row>
    <row r="220" spans="1:33">
      <c r="A220" s="1819"/>
      <c r="B220" s="1819" t="s">
        <v>3317</v>
      </c>
      <c r="C220" s="1819"/>
      <c r="D220" s="1819"/>
      <c r="E220" s="1819"/>
      <c r="F220" s="1819"/>
      <c r="G220" s="2547">
        <f>'Part III-A-Uses of Funds'!G107</f>
        <v>4500</v>
      </c>
      <c r="H220" s="2547"/>
      <c r="I220" s="1819"/>
      <c r="J220" s="2545"/>
      <c r="K220" s="2545"/>
      <c r="L220" s="2560"/>
      <c r="M220" s="2545"/>
      <c r="N220" s="2545"/>
      <c r="O220" s="1819"/>
      <c r="P220" s="2545"/>
      <c r="Q220" s="2545"/>
      <c r="R220" s="1819"/>
      <c r="S220" s="2547">
        <f>'Part III-A-Uses of Funds'!S107</f>
        <v>4500</v>
      </c>
      <c r="T220" s="2547"/>
      <c r="U220" s="1819"/>
      <c r="V220" s="2665"/>
      <c r="W220" s="2645"/>
      <c r="X220" s="2645"/>
      <c r="Y220" s="2700" t="s">
        <v>6707</v>
      </c>
      <c r="Z220" s="2622"/>
      <c r="AA220" s="2622"/>
      <c r="AB220" s="2622"/>
      <c r="AC220" s="1819"/>
      <c r="AD220" s="2701" t="s">
        <v>6708</v>
      </c>
      <c r="AE220" s="1819"/>
      <c r="AF220" s="1819"/>
      <c r="AG220" s="1819"/>
    </row>
    <row r="221" spans="1:33">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6703</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60800</v>
      </c>
      <c r="F222" s="2561"/>
      <c r="G222" s="2547">
        <f>'Part III-A-Uses of Funds'!G109</f>
        <v>60800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60800</v>
      </c>
      <c r="T222" s="2547"/>
      <c r="U222" s="1819"/>
      <c r="V222" s="2665"/>
      <c r="W222" s="2645"/>
      <c r="X222" s="2645"/>
      <c r="Y222" s="2622" t="s">
        <v>6286</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3448</v>
      </c>
      <c r="C223" s="1819"/>
      <c r="D223" s="1819"/>
      <c r="E223" s="1819"/>
      <c r="F223" s="2704"/>
      <c r="G223" s="2547">
        <f>'Part III-A-Uses of Funds'!G110</f>
        <v>10000</v>
      </c>
      <c r="H223" s="2547"/>
      <c r="I223" s="2563"/>
      <c r="J223" s="2563"/>
      <c r="K223" s="2563"/>
      <c r="L223" s="2563"/>
      <c r="M223" s="2563"/>
      <c r="N223" s="2563"/>
      <c r="O223" s="2563"/>
      <c r="P223" s="2563"/>
      <c r="Q223" s="2563"/>
      <c r="R223" s="2563"/>
      <c r="S223" s="2547">
        <f>'Part III-A-Uses of Funds'!S110</f>
        <v>10000</v>
      </c>
      <c r="T223" s="2547"/>
      <c r="U223" s="1819"/>
      <c r="V223" s="2665"/>
      <c r="W223" s="2645"/>
      <c r="X223" s="1819"/>
      <c r="Y223" s="2622" t="s">
        <v>6704</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3449</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6705</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6274</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6706</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6274</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76</v>
      </c>
      <c r="AC226" s="1819"/>
      <c r="AD226" s="2703">
        <f>IF($AD$101="Income Averaging",AB226*'DCA Underwriting Assumptions'!$Q$61,AB226*'DCA Underwriting Assumptions'!$Q$60)</f>
        <v>60800</v>
      </c>
      <c r="AE226" s="1819"/>
      <c r="AF226" s="1819"/>
      <c r="AG226" s="1819"/>
    </row>
    <row r="227" spans="1:33">
      <c r="A227" s="1819"/>
      <c r="B227" s="1819"/>
      <c r="C227" s="1819"/>
      <c r="D227" s="1819"/>
      <c r="E227" s="1819"/>
      <c r="F227" s="2669" t="s">
        <v>184</v>
      </c>
      <c r="G227" s="2547">
        <f>SUM(G218:G226)</f>
        <v>191300</v>
      </c>
      <c r="H227" s="2547"/>
      <c r="I227" s="1819"/>
      <c r="J227" s="2545"/>
      <c r="K227" s="2545"/>
      <c r="L227" s="2545"/>
      <c r="M227" s="2545"/>
      <c r="N227" s="2545"/>
      <c r="O227" s="1819"/>
      <c r="P227" s="2545"/>
      <c r="Q227" s="2545"/>
      <c r="R227" s="1819"/>
      <c r="S227" s="2547">
        <f>SUM(S218:S226)</f>
        <v>191300</v>
      </c>
      <c r="T227" s="2547"/>
      <c r="U227" s="1819"/>
      <c r="V227" s="2665">
        <f>SUM(V218:V226)</f>
        <v>0</v>
      </c>
      <c r="W227" s="1819"/>
      <c r="X227" s="1819"/>
      <c r="Y227" s="2622" t="s">
        <v>6480</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6705</v>
      </c>
      <c r="AA228" s="2622"/>
      <c r="AB228" s="2705">
        <f>SUM(AB226:AB227)</f>
        <v>76</v>
      </c>
      <c r="AC228" s="1819"/>
      <c r="AD228" s="2706">
        <f>SUM(AD226:AD227)</f>
        <v>60800</v>
      </c>
      <c r="AE228" s="1819"/>
      <c r="AF228" s="1819"/>
      <c r="AG228" s="1819"/>
    </row>
    <row r="229" spans="1:33">
      <c r="A229" s="1819"/>
      <c r="B229" s="1819" t="s">
        <v>267</v>
      </c>
      <c r="C229" s="1819"/>
      <c r="D229" s="1819"/>
      <c r="E229" s="1819"/>
      <c r="F229" s="1819"/>
      <c r="G229" s="2547">
        <f>'Part III-A-Uses of Funds'!G116</f>
        <v>2000</v>
      </c>
      <c r="H229" s="2547"/>
      <c r="I229" s="1819"/>
      <c r="J229" s="2547"/>
      <c r="K229" s="2547"/>
      <c r="L229" s="2545"/>
      <c r="M229" s="2547"/>
      <c r="N229" s="2547"/>
      <c r="O229" s="1819"/>
      <c r="P229" s="2547"/>
      <c r="Q229" s="2547"/>
      <c r="R229" s="1819"/>
      <c r="S229" s="2547">
        <f>'Part III-A-Uses of Funds'!S116</f>
        <v>2000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60000</v>
      </c>
      <c r="H231" s="2547"/>
      <c r="I231" s="1819"/>
      <c r="J231" s="2547"/>
      <c r="K231" s="2547"/>
      <c r="L231" s="2545"/>
      <c r="M231" s="2547"/>
      <c r="N231" s="2547"/>
      <c r="O231" s="1819"/>
      <c r="P231" s="2547"/>
      <c r="Q231" s="2547"/>
      <c r="R231" s="1819"/>
      <c r="S231" s="2547">
        <f>'Part III-A-Uses of Funds'!S118</f>
        <v>60000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6274</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62000</v>
      </c>
      <c r="H233" s="2547"/>
      <c r="I233" s="1819"/>
      <c r="J233" s="2547"/>
      <c r="K233" s="2547"/>
      <c r="L233" s="2545"/>
      <c r="M233" s="2547"/>
      <c r="N233" s="2547"/>
      <c r="O233" s="1819"/>
      <c r="P233" s="2547"/>
      <c r="Q233" s="2547"/>
      <c r="R233" s="1819"/>
      <c r="S233" s="2547">
        <f>SUM(S229:S232)</f>
        <v>62000</v>
      </c>
      <c r="T233" s="2547"/>
      <c r="U233" s="1819"/>
      <c r="V233" s="2665">
        <f>SUM(V229:V232)</f>
        <v>0</v>
      </c>
      <c r="W233" s="1819"/>
      <c r="X233" s="1819"/>
      <c r="Y233" s="1819"/>
      <c r="Z233" s="1819"/>
      <c r="AA233" s="2708" t="s">
        <v>3921</v>
      </c>
      <c r="AB233" s="2708" t="s">
        <v>3922</v>
      </c>
      <c r="AC233" s="2708" t="s">
        <v>3925</v>
      </c>
      <c r="AD233" s="2709" t="s">
        <v>3923</v>
      </c>
      <c r="AE233" s="2708" t="s">
        <v>3914</v>
      </c>
      <c r="AF233" s="2710" t="s">
        <v>6741</v>
      </c>
      <c r="AG233" s="2710"/>
    </row>
    <row r="234" spans="1:33" ht="13.5">
      <c r="A234" s="1819"/>
      <c r="B234" s="2614" t="s">
        <v>269</v>
      </c>
      <c r="C234" s="1819"/>
      <c r="D234" s="1819"/>
      <c r="E234" s="2654" t="s">
        <v>3924</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3912</v>
      </c>
      <c r="X234" s="403"/>
      <c r="Y234" s="1320" t="s">
        <v>3918</v>
      </c>
      <c r="Z234" s="1320" t="s">
        <v>3919</v>
      </c>
      <c r="AA234" s="2708"/>
      <c r="AB234" s="2708"/>
      <c r="AC234" s="2708"/>
      <c r="AD234" s="2709"/>
      <c r="AE234" s="2708"/>
      <c r="AF234" s="2710"/>
      <c r="AG234" s="2710"/>
    </row>
    <row r="235" spans="1:33" ht="13.5">
      <c r="A235" s="1819"/>
      <c r="B235" s="1819" t="s">
        <v>1724</v>
      </c>
      <c r="C235" s="1819"/>
      <c r="D235" s="1819"/>
      <c r="E235" s="1819"/>
      <c r="F235" s="2649">
        <f>'Part III-A-Uses of Funds'!F122</f>
        <v>0.2</v>
      </c>
      <c r="G235" s="2547">
        <f>'Part III-A-Uses of Funds'!G122</f>
        <v>382800</v>
      </c>
      <c r="H235" s="2547"/>
      <c r="I235" s="1819"/>
      <c r="J235" s="2547">
        <f>'Part III-A-Uses of Funds'!J122</f>
        <v>0</v>
      </c>
      <c r="K235" s="2547"/>
      <c r="L235" s="2545"/>
      <c r="M235" s="2547">
        <f>'Part III-A-Uses of Funds'!M122</f>
        <v>0</v>
      </c>
      <c r="N235" s="2547"/>
      <c r="O235" s="1819"/>
      <c r="P235" s="2547">
        <f>'Part III-A-Uses of Funds'!P122</f>
        <v>382800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1474000</v>
      </c>
      <c r="AE235" s="2713">
        <f>'DCA Underwriting Assumptions'!$Q$74</f>
        <v>2000000</v>
      </c>
      <c r="AF235" s="2647">
        <f>MIN(AD235,AE235)</f>
        <v>1474000</v>
      </c>
      <c r="AG235" s="2647"/>
    </row>
    <row r="236" spans="1:33" ht="13.5">
      <c r="A236" s="1819"/>
      <c r="B236" s="1819" t="s">
        <v>3410</v>
      </c>
      <c r="C236" s="1819"/>
      <c r="D236" s="1819"/>
      <c r="E236" s="1819"/>
      <c r="F236" s="2564">
        <f>'Part III-A-Uses of Funds'!F123</f>
        <v>47850</v>
      </c>
      <c r="G236" s="2707" t="s">
        <v>6721</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99000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1474000</v>
      </c>
      <c r="AE238" s="2713">
        <f>'DCA Underwriting Assumptions'!$Q$75</f>
        <v>3500000</v>
      </c>
      <c r="AF238" s="2647">
        <f>MIN(AD238,AE238)</f>
        <v>1474000</v>
      </c>
      <c r="AG238" s="2647"/>
    </row>
    <row r="239" spans="1:33" ht="13.5">
      <c r="A239" s="1819"/>
      <c r="B239" s="1819" t="s">
        <v>1717</v>
      </c>
      <c r="C239" s="1819"/>
      <c r="D239" s="1819"/>
      <c r="E239" s="1819"/>
      <c r="F239" s="2649">
        <f>'Part III-A-Uses of Funds'!F126</f>
        <v>0.8</v>
      </c>
      <c r="G239" s="2547">
        <f>'Part III-A-Uses of Funds'!G126</f>
        <v>1531200</v>
      </c>
      <c r="H239" s="2547"/>
      <c r="I239" s="1819"/>
      <c r="J239" s="2547">
        <f>'Part III-A-Uses of Funds'!J126</f>
        <v>0</v>
      </c>
      <c r="K239" s="2547"/>
      <c r="L239" s="2545"/>
      <c r="M239" s="2547">
        <f>'Part III-A-Uses of Funds'!M126</f>
        <v>0</v>
      </c>
      <c r="N239" s="2547"/>
      <c r="O239" s="1819"/>
      <c r="P239" s="2547">
        <f>'Part III-A-Uses of Funds'!P126</f>
        <v>1531200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3920</v>
      </c>
      <c r="E240" s="2716">
        <f>'Part III-A-Uses of Funds'!E127</f>
        <v>1914000</v>
      </c>
      <c r="F240" s="2669" t="s">
        <v>184</v>
      </c>
      <c r="G240" s="2547">
        <f>SUM(G235:G239)</f>
        <v>1914000</v>
      </c>
      <c r="H240" s="2547"/>
      <c r="I240" s="1819"/>
      <c r="J240" s="2547">
        <f>SUM(J235:J239)</f>
        <v>0</v>
      </c>
      <c r="K240" s="2547"/>
      <c r="L240" s="2545"/>
      <c r="M240" s="2547">
        <f>SUM(M235:M239)</f>
        <v>0</v>
      </c>
      <c r="N240" s="2547"/>
      <c r="O240" s="1819"/>
      <c r="P240" s="2547">
        <f>SUM(P235:P239)</f>
        <v>1914000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99000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104591.5</v>
      </c>
      <c r="G243" s="2547">
        <f>'Part III-A-Uses of Funds'!G130</f>
        <v>104600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104600</v>
      </c>
      <c r="T243" s="2547"/>
      <c r="U243" s="1819"/>
      <c r="V243" s="2665"/>
    </row>
    <row r="244" spans="1:22">
      <c r="A244" s="1819"/>
      <c r="B244" s="1819" t="s">
        <v>632</v>
      </c>
      <c r="C244" s="1819"/>
      <c r="D244" s="1819"/>
      <c r="E244" s="1819"/>
      <c r="F244" s="2717">
        <f>'Part III-A-Uses of Funds'!F131</f>
        <v>209183</v>
      </c>
      <c r="G244" s="2547">
        <f>'Part III-A-Uses of Funds'!G131</f>
        <v>209200</v>
      </c>
      <c r="H244" s="2547"/>
      <c r="I244" s="1819"/>
      <c r="J244" s="2565" t="str">
        <f>IF(E244&gt;G244,"WARNING! ODR proposed is below minimum - add comment.","")</f>
        <v/>
      </c>
      <c r="K244" s="2560"/>
      <c r="L244" s="2560"/>
      <c r="M244" s="2560"/>
      <c r="N244" s="2560"/>
      <c r="O244" s="1819"/>
      <c r="P244" s="2560"/>
      <c r="Q244" s="2560"/>
      <c r="R244" s="1819"/>
      <c r="S244" s="2547">
        <f>'Part III-A-Uses of Funds'!S131</f>
        <v>209200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500</v>
      </c>
      <c r="G246" s="2547">
        <f>'Part III-A-Uses of Funds'!G133</f>
        <v>38000</v>
      </c>
      <c r="H246" s="2547"/>
      <c r="I246" s="1819"/>
      <c r="J246" s="2547">
        <f>'Part III-A-Uses of Funds'!J133</f>
        <v>0</v>
      </c>
      <c r="K246" s="2547"/>
      <c r="L246" s="2545"/>
      <c r="M246" s="2547">
        <f>'Part III-A-Uses of Funds'!M133</f>
        <v>0</v>
      </c>
      <c r="N246" s="2547"/>
      <c r="O246" s="1819"/>
      <c r="P246" s="2547">
        <f>'Part III-A-Uses of Funds'!P133</f>
        <v>0</v>
      </c>
      <c r="Q246" s="2547"/>
      <c r="R246" s="1819"/>
      <c r="S246" s="2547">
        <f>'Part III-A-Uses of Funds'!S133</f>
        <v>38000</v>
      </c>
      <c r="T246" s="2547"/>
      <c r="U246" s="1819"/>
      <c r="V246" s="2665"/>
    </row>
    <row r="247" spans="1:22" ht="16.5" customHeight="1">
      <c r="A247" s="2666" t="str">
        <f>IF(AND(G247&gt;0,OR(C247="",C247="&lt;Enter detailed description here; use Comments section if needed&gt;")),"X","")</f>
        <v/>
      </c>
      <c r="B247" s="2622" t="s">
        <v>6274</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351800</v>
      </c>
      <c r="H248" s="2547"/>
      <c r="I248" s="1819"/>
      <c r="J248" s="2547">
        <f>SUM(J246:J247)</f>
        <v>0</v>
      </c>
      <c r="K248" s="2547"/>
      <c r="L248" s="2545"/>
      <c r="M248" s="2547">
        <f>SUM(M246:M247)</f>
        <v>0</v>
      </c>
      <c r="N248" s="2547"/>
      <c r="O248" s="1819"/>
      <c r="P248" s="2547">
        <f>SUM(P246:P247)</f>
        <v>0</v>
      </c>
      <c r="Q248" s="2547"/>
      <c r="R248" s="1819"/>
      <c r="S248" s="2547">
        <f>SUM(S242:S247)</f>
        <v>351800</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6274</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26653520</v>
      </c>
      <c r="H259" s="2567"/>
      <c r="I259" s="1819"/>
      <c r="J259" s="2567">
        <f>J131+J137+J141+J149+J154+J159+J168+J186+J199+J205+J216+J227+J233+J240+J248+J257</f>
        <v>0</v>
      </c>
      <c r="K259" s="2567"/>
      <c r="L259" s="1819"/>
      <c r="M259" s="2567">
        <f>M131+M137+M141+M149+M154+M159+M168+M186+M199+M205+M216+M227+M233+M240+M248+M257</f>
        <v>0</v>
      </c>
      <c r="N259" s="2567"/>
      <c r="O259" s="1819"/>
      <c r="P259" s="2567">
        <f>P131+P137+P141+P149+P154+P159+P168+P186+P199+P205+P216+P227+P233+P240+P248+P257</f>
        <v>26048420</v>
      </c>
      <c r="Q259" s="2567"/>
      <c r="R259" s="1819"/>
      <c r="S259" s="2567">
        <f>S131+S137+S141+S149+S154+S159+S168+S186+S199+S205+S216+S227+S233+S240+S248+S257</f>
        <v>605100</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350704.21052631579</v>
      </c>
      <c r="E261" s="2568"/>
      <c r="F261" s="2695" t="s">
        <v>2487</v>
      </c>
      <c r="G261" s="2568">
        <f>IF('Part V-Revenues &amp; Expenses'!$K$175=0,0,G259/'Part V-Revenues &amp; Expenses'!$K$175)</f>
        <v>337.30093647177932</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10211684</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10211684</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0</v>
      </c>
      <c r="N275" s="2648"/>
      <c r="O275" s="1819"/>
      <c r="P275" s="2648">
        <f>P259</f>
        <v>26048420</v>
      </c>
      <c r="Q275" s="2648"/>
      <c r="R275" s="2727" t="s">
        <v>3772</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10211684</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0</v>
      </c>
      <c r="N277" s="2648"/>
      <c r="O277" s="1819"/>
      <c r="P277" s="2648">
        <f>P275-P276</f>
        <v>15836736</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0</v>
      </c>
      <c r="K278" s="2728"/>
      <c r="L278" s="1819"/>
      <c r="M278" s="2728"/>
      <c r="N278" s="2728"/>
      <c r="O278" s="1819"/>
      <c r="P278" s="2728">
        <f>'Part III-A-Uses of Funds'!P165</f>
        <v>1.3</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0</v>
      </c>
      <c r="N279" s="2648"/>
      <c r="O279" s="1819"/>
      <c r="P279" s="2648">
        <f>P277*P278</f>
        <v>20587756.800000001</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0.73684210526315785</v>
      </c>
      <c r="K280" s="2729"/>
      <c r="L280" s="1819"/>
      <c r="M280" s="2729">
        <f>MIN('Part V-Revenues &amp; Expenses'!$P$63/'Part V-Revenues &amp; Expenses'!$P$65,'Part V-Revenues &amp; Expenses'!$P$164/'Part V-Revenues &amp; Expenses'!$P$166)</f>
        <v>0.73684210526315785</v>
      </c>
      <c r="N280" s="2729"/>
      <c r="O280" s="1819"/>
      <c r="P280" s="2729">
        <f>MIN('Part V-Revenues &amp; Expenses'!$P$63/'Part V-Revenues &amp; Expenses'!$P$65,'Part V-Revenues &amp; Expenses'!$P$164/'Part V-Revenues &amp; Expenses'!$P$166)</f>
        <v>0.73684210526315785</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0</v>
      </c>
      <c r="N281" s="2648"/>
      <c r="O281" s="1819"/>
      <c r="P281" s="2648">
        <f>P279*P280</f>
        <v>15169926.063157894</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0</v>
      </c>
      <c r="N283" s="2648"/>
      <c r="O283" s="1819"/>
      <c r="P283" s="2648">
        <f>P281*P282</f>
        <v>1365293.3456842103</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1365293</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26653520</v>
      </c>
      <c r="K289" s="2648"/>
      <c r="L289" s="2648"/>
      <c r="M289" s="1819"/>
      <c r="N289" s="2727" t="s">
        <v>6715</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8315415</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18338105</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1833810.5</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1.4300000000000002</v>
      </c>
      <c r="K295" s="2733"/>
      <c r="L295" s="2733"/>
      <c r="M295" s="1622" t="s">
        <v>1212</v>
      </c>
      <c r="N295" s="2734">
        <f>'Part III-A-Uses of Funds'!N182</f>
        <v>0.87</v>
      </c>
      <c r="O295" s="2734"/>
      <c r="P295" s="1622" t="s">
        <v>570</v>
      </c>
      <c r="Q295" s="2734">
        <f>'Part III-A-Uses of Funds'!Q182</f>
        <v>0.56000000000000005</v>
      </c>
      <c r="R295" s="2734"/>
      <c r="S295" s="1819"/>
      <c r="T295" s="1819"/>
      <c r="U295" s="1819"/>
      <c r="V295" s="2665"/>
    </row>
    <row r="296" spans="1:22">
      <c r="A296" s="1819"/>
      <c r="B296" s="2614" t="s">
        <v>1340</v>
      </c>
      <c r="C296" s="1819"/>
      <c r="D296" s="1819"/>
      <c r="E296" s="1819"/>
      <c r="F296" s="1819"/>
      <c r="G296" s="1819"/>
      <c r="H296" s="1819"/>
      <c r="I296" s="1819"/>
      <c r="J296" s="2647">
        <f>ROUNDDOWN(IF(J295=0,"",J293/J295),0)</f>
        <v>1282384</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3932</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1225000</v>
      </c>
      <c r="K300" s="2647"/>
      <c r="L300" s="2647"/>
      <c r="M300" s="1819"/>
      <c r="N300" s="1819"/>
      <c r="O300" s="1819"/>
      <c r="P300" s="1819"/>
      <c r="Q300" s="2622" t="s">
        <v>6246</v>
      </c>
      <c r="R300" s="2622"/>
      <c r="S300" s="2622" t="str">
        <f>'Part VIII Scoring Criteria'!$J$36</f>
        <v>Other Metro</v>
      </c>
      <c r="T300" s="2622"/>
      <c r="U300" s="1622" t="e">
        <f>IF(OR(S300="Atlanta Metro", "Other Metro"), "Metro", IF(S300="Rural","Rural",""))</f>
        <v>#VALUE!</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6542</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1225000</v>
      </c>
      <c r="K304" s="2647"/>
      <c r="L304" s="2647"/>
      <c r="M304" s="2737"/>
      <c r="N304" s="2737"/>
      <c r="O304" s="2737"/>
      <c r="P304" s="2737"/>
      <c r="Q304" s="403" t="s">
        <v>3924</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The project was modeled based on projected draw amounts, equity pay-in, timeline for completion and construction loan interest rate.  A schedule based on that calculation has been included in Tab 2 (Feasibility).
The total value of the state and federal historic credits has been subtracted from the basis calculation.  While this category suggests only federal credits be subtracted, we have taken the conservative approach and assumed that since we are also receiving state LIHTC credits we should subtract those credits from basis as well.</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Freedom's Path Augusta III  -  Augusta  -  Richmond,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Historic Consultant and Fees</v>
      </c>
      <c r="B322" s="2571"/>
      <c r="C322" s="2571"/>
      <c r="D322" s="2571"/>
      <c r="E322" s="2745"/>
      <c r="F322" s="2572" t="str">
        <f>'Part III-B-Other Items'!F9</f>
        <v>The project is a 100% historic preservation project which all but requires a consulting firm to naviagate through the process.  Further, both the Georgia SHPO and the NPS charge review fees for the applications, which have also been included in the project budget.</v>
      </c>
      <c r="G322" s="2747"/>
      <c r="H322" s="2572" t="str">
        <f>'Part III-B-Other Items'!H9</f>
        <v>These costs are directly related to both the low income and historic basis of the project.  Without these costs the project could not be done.</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60000</v>
      </c>
      <c r="C325" s="2748" t="s">
        <v>1665</v>
      </c>
      <c r="D325" s="2573">
        <f>'Part III-A-Uses of Funds'!$J$15+'Part III-A-Uses of Funds'!$M$15+'Part III-A-Uses of Funds'!$P$15</f>
        <v>60000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Freedom's Path Augusta III,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6736</v>
      </c>
      <c r="I401" s="2753" t="str">
        <f>'Part IV-Utility Allowances'!I3</f>
        <v>Local PHA</v>
      </c>
    </row>
    <row r="403" spans="1:13">
      <c r="A403" s="2754" t="s">
        <v>6971</v>
      </c>
    </row>
    <row r="405" spans="1:13" ht="38.25">
      <c r="A405" s="361" t="s">
        <v>573</v>
      </c>
      <c r="B405" s="361" t="s">
        <v>2059</v>
      </c>
      <c r="F405" s="359" t="s">
        <v>2317</v>
      </c>
      <c r="G405" s="359"/>
      <c r="H405" s="359"/>
      <c r="I405" s="2621" t="str">
        <f>'Part IV-Utility Allowances'!I7</f>
        <v>Augusta Housing Authority</v>
      </c>
      <c r="J405" s="2621"/>
      <c r="K405" s="2621"/>
      <c r="L405" s="2621"/>
      <c r="M405" s="2621"/>
    </row>
    <row r="406" spans="1:13">
      <c r="A406" s="361"/>
      <c r="F406" s="359" t="s">
        <v>593</v>
      </c>
      <c r="G406" s="359"/>
      <c r="H406" s="359"/>
      <c r="I406" s="2755">
        <f>'Part IV-Utility Allowances'!I8</f>
        <v>44805</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f>'Part IV-Utility Allowances'!F12</f>
        <v>0</v>
      </c>
      <c r="G410" s="2756"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f>'Part IV-Utility Allowances'!F13</f>
        <v>0</v>
      </c>
      <c r="G411" s="2756"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f>'Part IV-Utility Allowances'!F14</f>
        <v>0</v>
      </c>
      <c r="G412" s="2756"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f>'Part IV-Utility Allowances'!F18</f>
        <v>0</v>
      </c>
      <c r="G416" s="2756" t="str">
        <f>'Part IV-Utility Allowances'!G18</f>
        <v>X</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6745</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6745</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ht="156">
      <c r="B441" s="2757" t="str">
        <f>'Part IV-Utility Allowances'!B43</f>
        <v>The Owner will pay all utilities; therefore, no utility allowances have been entered into the chart.</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Freedom's Path Augusta III,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Freedom's Path Augusta III,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6092</v>
      </c>
      <c r="E451" s="2630"/>
      <c r="F451" s="2630"/>
      <c r="G451" s="2630"/>
      <c r="H451" s="2630"/>
      <c r="I451" s="2630"/>
      <c r="J451" s="2630"/>
      <c r="K451" s="1747"/>
      <c r="L451" s="1747"/>
      <c r="M451" s="1747"/>
      <c r="O451" s="2758" t="s">
        <v>534</v>
      </c>
      <c r="P451" s="2759" t="str">
        <f>'Part I-Project Identification'!$O$28</f>
        <v>Augusta-Richmond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3680</v>
      </c>
      <c r="Y452" s="2760" t="s">
        <v>3681</v>
      </c>
      <c r="Z452" s="2760" t="s">
        <v>3682</v>
      </c>
      <c r="AA452" s="2760" t="s">
        <v>3683</v>
      </c>
      <c r="AB452" s="2760" t="s">
        <v>3684</v>
      </c>
      <c r="AC452" s="2760" t="s">
        <v>3685</v>
      </c>
      <c r="AD452" s="2760" t="s">
        <v>3686</v>
      </c>
      <c r="AE452" s="2760" t="s">
        <v>3687</v>
      </c>
      <c r="AF452" s="2760" t="s">
        <v>3688</v>
      </c>
      <c r="AG452" s="2760" t="s">
        <v>3689</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3691</v>
      </c>
      <c r="AS452" s="2760" t="s">
        <v>3692</v>
      </c>
      <c r="AT452" s="2760" t="s">
        <v>3693</v>
      </c>
      <c r="AU452" s="2760" t="s">
        <v>3694</v>
      </c>
      <c r="AV452" s="2760" t="s">
        <v>3690</v>
      </c>
      <c r="AW452" s="2760" t="s">
        <v>863</v>
      </c>
      <c r="AX452" s="2760" t="s">
        <v>2135</v>
      </c>
      <c r="AY452" s="2760" t="s">
        <v>2136</v>
      </c>
      <c r="AZ452" s="2760" t="s">
        <v>2137</v>
      </c>
      <c r="BA452" s="2760" t="s">
        <v>2138</v>
      </c>
      <c r="BB452" s="2760" t="s">
        <v>3695</v>
      </c>
      <c r="BC452" s="2760" t="s">
        <v>3696</v>
      </c>
      <c r="BD452" s="2760" t="s">
        <v>3697</v>
      </c>
      <c r="BE452" s="2760" t="s">
        <v>3698</v>
      </c>
      <c r="BF452" s="2760" t="s">
        <v>3699</v>
      </c>
      <c r="BG452" s="2760" t="s">
        <v>123</v>
      </c>
      <c r="BH452" s="2760" t="s">
        <v>2139</v>
      </c>
      <c r="BI452" s="2760" t="s">
        <v>2140</v>
      </c>
      <c r="BJ452" s="2760" t="s">
        <v>2141</v>
      </c>
      <c r="BK452" s="2760" t="s">
        <v>1080</v>
      </c>
      <c r="BL452" s="2760" t="s">
        <v>3700</v>
      </c>
      <c r="BM452" s="2760" t="s">
        <v>3701</v>
      </c>
      <c r="BN452" s="2760" t="s">
        <v>3702</v>
      </c>
      <c r="BO452" s="2760" t="s">
        <v>3703</v>
      </c>
      <c r="BP452" s="2760" t="s">
        <v>3704</v>
      </c>
      <c r="BQ452" s="2760" t="s">
        <v>517</v>
      </c>
      <c r="BR452" s="2760" t="s">
        <v>518</v>
      </c>
      <c r="BS452" s="2760" t="s">
        <v>535</v>
      </c>
      <c r="BT452" s="2760" t="s">
        <v>536</v>
      </c>
      <c r="BU452" s="2760" t="s">
        <v>537</v>
      </c>
      <c r="BV452" s="2760" t="s">
        <v>3705</v>
      </c>
      <c r="BW452" s="2760" t="s">
        <v>3706</v>
      </c>
      <c r="BX452" s="2760" t="s">
        <v>3707</v>
      </c>
      <c r="BY452" s="2760" t="s">
        <v>3708</v>
      </c>
      <c r="BZ452" s="2760" t="s">
        <v>3709</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3715</v>
      </c>
      <c r="CL452" s="2760" t="s">
        <v>3716</v>
      </c>
      <c r="CM452" s="2760" t="s">
        <v>3717</v>
      </c>
      <c r="CN452" s="2760" t="s">
        <v>3718</v>
      </c>
      <c r="CO452" s="2760" t="s">
        <v>3719</v>
      </c>
      <c r="CP452" s="2760" t="s">
        <v>3710</v>
      </c>
      <c r="CQ452" s="2760" t="s">
        <v>3711</v>
      </c>
      <c r="CR452" s="2760" t="s">
        <v>3712</v>
      </c>
      <c r="CS452" s="2760" t="s">
        <v>3713</v>
      </c>
      <c r="CT452" s="2760" t="s">
        <v>3714</v>
      </c>
      <c r="CU452" s="2760" t="s">
        <v>3720</v>
      </c>
      <c r="CV452" s="2760" t="s">
        <v>3721</v>
      </c>
      <c r="CW452" s="2760" t="s">
        <v>3722</v>
      </c>
      <c r="CX452" s="2760" t="s">
        <v>3723</v>
      </c>
      <c r="CY452" s="2760" t="s">
        <v>3724</v>
      </c>
      <c r="CZ452" s="2760" t="s">
        <v>466</v>
      </c>
      <c r="DA452" s="2760" t="s">
        <v>467</v>
      </c>
      <c r="DB452" s="2760" t="s">
        <v>468</v>
      </c>
      <c r="DC452" s="2760" t="s">
        <v>469</v>
      </c>
      <c r="DD452" s="2760" t="s">
        <v>470</v>
      </c>
      <c r="DE452" s="2760" t="s">
        <v>3725</v>
      </c>
      <c r="DF452" s="2760" t="s">
        <v>3726</v>
      </c>
      <c r="DG452" s="2760" t="s">
        <v>3727</v>
      </c>
      <c r="DH452" s="2760" t="s">
        <v>3728</v>
      </c>
      <c r="DI452" s="2760" t="s">
        <v>3729</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3730</v>
      </c>
      <c r="DU452" s="2760" t="s">
        <v>3731</v>
      </c>
      <c r="DV452" s="2760" t="s">
        <v>3732</v>
      </c>
      <c r="DW452" s="2760" t="s">
        <v>3733</v>
      </c>
      <c r="DX452" s="2760" t="s">
        <v>3734</v>
      </c>
      <c r="DY452" s="2760" t="s">
        <v>3735</v>
      </c>
      <c r="DZ452" s="2760" t="s">
        <v>3736</v>
      </c>
      <c r="EA452" s="2760" t="s">
        <v>3737</v>
      </c>
      <c r="EB452" s="2760" t="s">
        <v>3738</v>
      </c>
      <c r="EC452" s="2760" t="s">
        <v>3739</v>
      </c>
      <c r="ED452" s="2760" t="s">
        <v>2235</v>
      </c>
      <c r="EE452" s="2760" t="s">
        <v>2236</v>
      </c>
      <c r="EF452" s="2760" t="s">
        <v>2237</v>
      </c>
      <c r="EG452" s="2760" t="s">
        <v>2238</v>
      </c>
      <c r="EH452" s="2760" t="s">
        <v>2239</v>
      </c>
      <c r="EI452" s="2760" t="s">
        <v>3740</v>
      </c>
      <c r="EJ452" s="2760" t="s">
        <v>3741</v>
      </c>
      <c r="EK452" s="2760" t="s">
        <v>3742</v>
      </c>
      <c r="EL452" s="2760" t="s">
        <v>3743</v>
      </c>
      <c r="EM452" s="2760" t="s">
        <v>3744</v>
      </c>
      <c r="EN452" s="2760" t="s">
        <v>3745</v>
      </c>
      <c r="EO452" s="2760" t="s">
        <v>3746</v>
      </c>
      <c r="EP452" s="2760" t="s">
        <v>3747</v>
      </c>
      <c r="EQ452" s="2760" t="s">
        <v>3748</v>
      </c>
      <c r="ER452" s="2760" t="s">
        <v>3749</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3750</v>
      </c>
      <c r="FD452" s="2760" t="s">
        <v>3751</v>
      </c>
      <c r="FE452" s="2760" t="s">
        <v>3752</v>
      </c>
      <c r="FF452" s="2760" t="s">
        <v>3753</v>
      </c>
      <c r="FG452" s="2760" t="s">
        <v>3754</v>
      </c>
      <c r="FH452" s="2760" t="s">
        <v>125</v>
      </c>
      <c r="FI452" s="2760" t="s">
        <v>853</v>
      </c>
      <c r="FJ452" s="2760" t="s">
        <v>854</v>
      </c>
      <c r="FK452" s="2760" t="s">
        <v>855</v>
      </c>
      <c r="FL452" s="2760" t="s">
        <v>856</v>
      </c>
      <c r="FM452" s="2760" t="s">
        <v>3755</v>
      </c>
      <c r="FN452" s="2760" t="s">
        <v>3756</v>
      </c>
      <c r="FO452" s="2760" t="s">
        <v>3757</v>
      </c>
      <c r="FP452" s="2760" t="s">
        <v>3758</v>
      </c>
      <c r="FQ452" s="2760" t="s">
        <v>3759</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6095</v>
      </c>
      <c r="I453" s="2764"/>
      <c r="J453" s="2764"/>
      <c r="K453" s="2765" t="s">
        <v>3135</v>
      </c>
      <c r="L453" s="2766" t="str">
        <f>'Part I-Project Identification'!$A$6</f>
        <v>April 2023</v>
      </c>
      <c r="M453" s="2766"/>
      <c r="N453" s="2766"/>
      <c r="O453" s="2767" t="s">
        <v>6974</v>
      </c>
      <c r="P453" s="2768">
        <f>'Part V-Revenues &amp; Expenses'!P6</f>
        <v>74100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6279</v>
      </c>
      <c r="MQ453" s="2760" t="s">
        <v>6280</v>
      </c>
      <c r="MR453" s="2760" t="s">
        <v>6281</v>
      </c>
      <c r="MS453" s="2760" t="s">
        <v>6282</v>
      </c>
      <c r="MT453" s="2760" t="s">
        <v>6283</v>
      </c>
    </row>
    <row r="454" spans="1:380" s="359" customFormat="1" ht="12.6" customHeight="1">
      <c r="A454" s="2763"/>
      <c r="B454" s="2770" t="s">
        <v>6094</v>
      </c>
      <c r="E454" s="1747"/>
      <c r="G454" s="1894" t="str">
        <f>'Part V-Revenues &amp; Expenses'!G7</f>
        <v>No</v>
      </c>
      <c r="I454" s="2771" t="s">
        <v>4069</v>
      </c>
      <c r="J454" s="2765" t="s">
        <v>742</v>
      </c>
      <c r="K454" s="2765" t="s">
        <v>3182</v>
      </c>
      <c r="L454" s="2766"/>
      <c r="M454" s="2766"/>
      <c r="N454" s="2766"/>
      <c r="O454" s="2772" t="s">
        <v>6074</v>
      </c>
      <c r="P454" s="2773" t="str">
        <f>'Part V-Revenues &amp; Expenses'!P7</f>
        <v>April, 2022</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3762</v>
      </c>
      <c r="I455" s="2771"/>
      <c r="J455" s="2765" t="s">
        <v>743</v>
      </c>
      <c r="K455" s="2765" t="s">
        <v>3183</v>
      </c>
      <c r="L455" s="2621"/>
      <c r="M455" s="2621"/>
      <c r="N455" s="2775" t="s">
        <v>6478</v>
      </c>
      <c r="O455" s="2622" t="str">
        <f>'Part V-Revenues &amp; Expenses'!O8</f>
        <v>HUDUser</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3763</v>
      </c>
      <c r="C456" s="2765" t="s">
        <v>165</v>
      </c>
      <c r="D456" s="2765" t="s">
        <v>510</v>
      </c>
      <c r="E456" s="2765" t="s">
        <v>1382</v>
      </c>
      <c r="F456" s="2765" t="s">
        <v>1382</v>
      </c>
      <c r="G456" s="2771" t="s">
        <v>6090</v>
      </c>
      <c r="H456" s="2762" t="s">
        <v>3300</v>
      </c>
      <c r="I456" s="2771"/>
      <c r="J456" s="2778" t="s">
        <v>6084</v>
      </c>
      <c r="K456" s="2765" t="s">
        <v>6975</v>
      </c>
      <c r="L456" s="1634" t="s">
        <v>139</v>
      </c>
      <c r="M456" s="1634"/>
      <c r="N456" s="2765" t="s">
        <v>2184</v>
      </c>
      <c r="O456" s="2765" t="s">
        <v>6481</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6284</v>
      </c>
      <c r="IZ456" s="2760" t="s">
        <v>6284</v>
      </c>
      <c r="JA456" s="2760" t="s">
        <v>6284</v>
      </c>
      <c r="JB456" s="2760" t="s">
        <v>6284</v>
      </c>
      <c r="JC456" s="2760" t="s">
        <v>6284</v>
      </c>
      <c r="JD456" s="2760" t="s">
        <v>6285</v>
      </c>
      <c r="JE456" s="2760" t="s">
        <v>6285</v>
      </c>
      <c r="JF456" s="2760" t="s">
        <v>6285</v>
      </c>
      <c r="JG456" s="2760" t="s">
        <v>6285</v>
      </c>
      <c r="JH456" s="2760" t="s">
        <v>6285</v>
      </c>
      <c r="JI456" s="2760" t="s">
        <v>6287</v>
      </c>
      <c r="JJ456" s="2760" t="s">
        <v>6287</v>
      </c>
      <c r="JK456" s="2760" t="s">
        <v>6287</v>
      </c>
      <c r="JL456" s="2760" t="s">
        <v>6287</v>
      </c>
      <c r="JM456" s="2760" t="s">
        <v>6287</v>
      </c>
      <c r="JN456" s="2760" t="s">
        <v>6288</v>
      </c>
      <c r="JO456" s="2760" t="s">
        <v>6288</v>
      </c>
      <c r="JP456" s="2760" t="s">
        <v>6288</v>
      </c>
      <c r="JQ456" s="2760" t="s">
        <v>6288</v>
      </c>
      <c r="JR456" s="2760" t="s">
        <v>6288</v>
      </c>
      <c r="JS456" s="2760" t="s">
        <v>6289</v>
      </c>
      <c r="JT456" s="2760" t="s">
        <v>6289</v>
      </c>
      <c r="JU456" s="2760" t="s">
        <v>6289</v>
      </c>
      <c r="JV456" s="2760" t="s">
        <v>6289</v>
      </c>
      <c r="JW456" s="2760" t="s">
        <v>6289</v>
      </c>
      <c r="JX456" s="2760" t="s">
        <v>6482</v>
      </c>
      <c r="JY456" s="2760" t="s">
        <v>6482</v>
      </c>
      <c r="JZ456" s="2760" t="s">
        <v>6482</v>
      </c>
      <c r="KA456" s="2760" t="s">
        <v>6482</v>
      </c>
      <c r="KB456" s="2760" t="s">
        <v>6482</v>
      </c>
      <c r="KC456" s="2760" t="s">
        <v>6647</v>
      </c>
      <c r="KD456" s="2760" t="s">
        <v>6647</v>
      </c>
      <c r="KE456" s="2760" t="s">
        <v>6647</v>
      </c>
      <c r="KF456" s="2760" t="s">
        <v>6647</v>
      </c>
      <c r="KG456" s="2760" t="s">
        <v>6647</v>
      </c>
      <c r="KH456" s="2760" t="s">
        <v>6648</v>
      </c>
      <c r="KI456" s="2760" t="s">
        <v>6648</v>
      </c>
      <c r="KJ456" s="2760" t="s">
        <v>6648</v>
      </c>
      <c r="KK456" s="2760" t="s">
        <v>6648</v>
      </c>
      <c r="KL456" s="2760" t="s">
        <v>6648</v>
      </c>
      <c r="KM456" s="2760" t="s">
        <v>6291</v>
      </c>
      <c r="KN456" s="2760" t="s">
        <v>6291</v>
      </c>
      <c r="KO456" s="2760" t="s">
        <v>6291</v>
      </c>
      <c r="KP456" s="2760" t="s">
        <v>6291</v>
      </c>
      <c r="KQ456" s="2760" t="s">
        <v>6291</v>
      </c>
      <c r="KR456" s="2760" t="s">
        <v>6483</v>
      </c>
      <c r="KS456" s="2760" t="s">
        <v>6483</v>
      </c>
      <c r="KT456" s="2760" t="s">
        <v>6483</v>
      </c>
      <c r="KU456" s="2760" t="s">
        <v>6483</v>
      </c>
      <c r="KV456" s="2760" t="s">
        <v>6483</v>
      </c>
      <c r="KW456" s="2760" t="s">
        <v>6649</v>
      </c>
      <c r="KX456" s="2760" t="s">
        <v>6649</v>
      </c>
      <c r="KY456" s="2760" t="s">
        <v>6649</v>
      </c>
      <c r="KZ456" s="2760" t="s">
        <v>6649</v>
      </c>
      <c r="LA456" s="2760" t="s">
        <v>6649</v>
      </c>
      <c r="LB456" s="2760" t="s">
        <v>6650</v>
      </c>
      <c r="LC456" s="2760" t="s">
        <v>6650</v>
      </c>
      <c r="LD456" s="2760" t="s">
        <v>6650</v>
      </c>
      <c r="LE456" s="2760" t="s">
        <v>6650</v>
      </c>
      <c r="LF456" s="2760" t="s">
        <v>6650</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3930</v>
      </c>
      <c r="C457" s="2765" t="s">
        <v>164</v>
      </c>
      <c r="D457" s="2765" t="s">
        <v>166</v>
      </c>
      <c r="E457" s="2765" t="s">
        <v>1383</v>
      </c>
      <c r="F457" s="2765" t="s">
        <v>1203</v>
      </c>
      <c r="G457" s="2771"/>
      <c r="H457" s="2765" t="s">
        <v>6091</v>
      </c>
      <c r="I457" s="2771"/>
      <c r="J457" s="2778"/>
      <c r="K457" s="2780" t="s">
        <v>334</v>
      </c>
      <c r="L457" s="2765" t="s">
        <v>1432</v>
      </c>
      <c r="M457" s="2765" t="s">
        <v>504</v>
      </c>
      <c r="N457" s="2765" t="s">
        <v>1382</v>
      </c>
      <c r="O457" s="2765" t="s">
        <v>6495</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756" t="str">
        <f t="shared" si="0"/>
        <v/>
      </c>
      <c r="B460" s="2575" t="str">
        <f>'Part V-Revenues &amp; Expenses'!B13</f>
        <v>Unrestricted</v>
      </c>
      <c r="C460" s="2576" t="str">
        <f>'Part V-Revenues &amp; Expenses'!C13</f>
        <v>Efficiency</v>
      </c>
      <c r="D460" s="2577">
        <f>'Part V-Revenues &amp; Expenses'!D13</f>
        <v>1</v>
      </c>
      <c r="E460" s="2578">
        <f>'Part V-Revenues &amp; Expenses'!E13</f>
        <v>1</v>
      </c>
      <c r="F460" s="2578">
        <f>'Part V-Revenues &amp; Expenses'!F13</f>
        <v>395</v>
      </c>
      <c r="G460" s="2578">
        <f>'Part V-Revenues &amp; Expenses'!G13</f>
        <v>0</v>
      </c>
      <c r="H460" s="2578">
        <f>'Part V-Revenues &amp; Expenses'!H13</f>
        <v>675</v>
      </c>
      <c r="I460" s="2578">
        <f>'Part V-Revenues &amp; Expenses'!I13</f>
        <v>0</v>
      </c>
      <c r="J460" s="2578">
        <f>'Part V-Revenues &amp; Expenses'!J13</f>
        <v>0</v>
      </c>
      <c r="K460" s="2579">
        <f>'Part V-Revenues &amp; Expenses'!K13</f>
        <v>0</v>
      </c>
      <c r="L460" s="2580">
        <f t="shared" si="1"/>
        <v>675</v>
      </c>
      <c r="M460" s="2580">
        <f t="shared" si="2"/>
        <v>675</v>
      </c>
      <c r="N460" s="2651" t="str">
        <f>'Part V-Revenues &amp; Expenses'!N13</f>
        <v>No</v>
      </c>
      <c r="O460" s="1320" t="str">
        <f>'Part V-Revenues &amp; Expenses'!O13</f>
        <v>Low-Rise Elevator</v>
      </c>
      <c r="P460" s="2651" t="str">
        <f>'Part V-Revenues &amp; Expenses'!P13</f>
        <v>Rehabilitation</v>
      </c>
      <c r="Q460" s="1895" t="str">
        <f>'Part V-Revenues &amp; Expenses'!Q13</f>
        <v>Yes</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f t="shared" si="38"/>
        <v>1</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f t="shared" si="153"/>
        <v>395</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f t="shared" si="203"/>
        <v>1</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f t="shared" si="213"/>
        <v>1</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f t="shared" si="273"/>
        <v>1</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756" t="str">
        <f t="shared" si="0"/>
        <v/>
      </c>
      <c r="B461" s="2575" t="str">
        <f>'Part V-Revenues &amp; Expenses'!B14</f>
        <v>Unrestricted</v>
      </c>
      <c r="C461" s="2576" t="str">
        <f>'Part V-Revenues &amp; Expenses'!C14</f>
        <v>Efficiency</v>
      </c>
      <c r="D461" s="2577">
        <f>'Part V-Revenues &amp; Expenses'!D14</f>
        <v>1</v>
      </c>
      <c r="E461" s="2578">
        <f>'Part V-Revenues &amp; Expenses'!E14</f>
        <v>10</v>
      </c>
      <c r="F461" s="2578">
        <f>'Part V-Revenues &amp; Expenses'!F14</f>
        <v>491</v>
      </c>
      <c r="G461" s="2578">
        <f>'Part V-Revenues &amp; Expenses'!G14</f>
        <v>0</v>
      </c>
      <c r="H461" s="2578">
        <f>'Part V-Revenues &amp; Expenses'!H14</f>
        <v>750</v>
      </c>
      <c r="I461" s="2578">
        <f>'Part V-Revenues &amp; Expenses'!I14</f>
        <v>0</v>
      </c>
      <c r="J461" s="2578">
        <f>'Part V-Revenues &amp; Expenses'!J14</f>
        <v>0</v>
      </c>
      <c r="K461" s="2579">
        <f>'Part V-Revenues &amp; Expenses'!K14</f>
        <v>0</v>
      </c>
      <c r="L461" s="2580">
        <f t="shared" si="1"/>
        <v>750</v>
      </c>
      <c r="M461" s="2580">
        <f t="shared" si="2"/>
        <v>7500</v>
      </c>
      <c r="N461" s="2651" t="str">
        <f>'Part V-Revenues &amp; Expenses'!N14</f>
        <v>No</v>
      </c>
      <c r="O461" s="1320" t="str">
        <f>'Part V-Revenues &amp; Expenses'!O14</f>
        <v>Low-Rise Elevator</v>
      </c>
      <c r="P461" s="2651" t="str">
        <f>'Part V-Revenues &amp; Expenses'!P14</f>
        <v>Rehabilitation</v>
      </c>
      <c r="Q461" s="1895" t="str">
        <f>'Part V-Revenues &amp; Expenses'!Q14</f>
        <v>Yes</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f t="shared" si="38"/>
        <v>10</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f t="shared" si="153"/>
        <v>4910</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f t="shared" si="203"/>
        <v>10</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f t="shared" si="213"/>
        <v>10</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f t="shared" si="273"/>
        <v>10</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756" t="str">
        <f t="shared" si="0"/>
        <v/>
      </c>
      <c r="B462" s="2575" t="str">
        <f>'Part V-Revenues &amp; Expenses'!B15</f>
        <v>Unrestricted</v>
      </c>
      <c r="C462" s="2576">
        <f>'Part V-Revenues &amp; Expenses'!C15</f>
        <v>1</v>
      </c>
      <c r="D462" s="2577">
        <f>'Part V-Revenues &amp; Expenses'!D15</f>
        <v>1</v>
      </c>
      <c r="E462" s="2578">
        <f>'Part V-Revenues &amp; Expenses'!E15</f>
        <v>9</v>
      </c>
      <c r="F462" s="2578">
        <f>'Part V-Revenues &amp; Expenses'!F15</f>
        <v>634</v>
      </c>
      <c r="G462" s="2578">
        <f>'Part V-Revenues &amp; Expenses'!G15</f>
        <v>0</v>
      </c>
      <c r="H462" s="2578">
        <f>'Part V-Revenues &amp; Expenses'!H15</f>
        <v>825</v>
      </c>
      <c r="I462" s="2578">
        <f>'Part V-Revenues &amp; Expenses'!I15</f>
        <v>0</v>
      </c>
      <c r="J462" s="2578">
        <f>'Part V-Revenues &amp; Expenses'!J15</f>
        <v>0</v>
      </c>
      <c r="K462" s="2579">
        <f>'Part V-Revenues &amp; Expenses'!K15</f>
        <v>0</v>
      </c>
      <c r="L462" s="2580">
        <f t="shared" si="1"/>
        <v>825</v>
      </c>
      <c r="M462" s="2580">
        <f t="shared" si="2"/>
        <v>7425</v>
      </c>
      <c r="N462" s="2651" t="str">
        <f>'Part V-Revenues &amp; Expenses'!N15</f>
        <v>No</v>
      </c>
      <c r="O462" s="1320" t="str">
        <f>'Part V-Revenues &amp; Expenses'!O15</f>
        <v>Low-Rise Elevator</v>
      </c>
      <c r="P462" s="2651" t="str">
        <f>'Part V-Revenues &amp; Expenses'!P15</f>
        <v>Rehabilitation</v>
      </c>
      <c r="Q462" s="1895" t="str">
        <f>'Part V-Revenues &amp; Expenses'!Q15</f>
        <v>Yes</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9</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5706</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f t="shared" si="204"/>
        <v>9</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f t="shared" si="214"/>
        <v>9</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f t="shared" si="274"/>
        <v>9</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756" t="str">
        <f t="shared" si="0"/>
        <v/>
      </c>
      <c r="B465" s="2575">
        <f>'Part V-Revenues &amp; Expenses'!B18</f>
        <v>50</v>
      </c>
      <c r="C465" s="2576" t="str">
        <f>'Part V-Revenues &amp; Expenses'!C18</f>
        <v>Efficiency</v>
      </c>
      <c r="D465" s="2577">
        <f>'Part V-Revenues &amp; Expenses'!D18</f>
        <v>1</v>
      </c>
      <c r="E465" s="2578">
        <f>'Part V-Revenues &amp; Expenses'!E18</f>
        <v>1</v>
      </c>
      <c r="F465" s="2578">
        <f>'Part V-Revenues &amp; Expenses'!F18</f>
        <v>395</v>
      </c>
      <c r="G465" s="2578">
        <f>'Part V-Revenues &amp; Expenses'!G18</f>
        <v>648</v>
      </c>
      <c r="H465" s="2578">
        <f>'Part V-Revenues &amp; Expenses'!H18</f>
        <v>575</v>
      </c>
      <c r="I465" s="2578">
        <f>'Part V-Revenues &amp; Expenses'!I18</f>
        <v>0</v>
      </c>
      <c r="J465" s="2578">
        <f>'Part V-Revenues &amp; Expenses'!J18</f>
        <v>0</v>
      </c>
      <c r="K465" s="2579">
        <f>'Part V-Revenues &amp; Expenses'!K18</f>
        <v>0</v>
      </c>
      <c r="L465" s="2580">
        <f t="shared" si="1"/>
        <v>575</v>
      </c>
      <c r="M465" s="2580">
        <f t="shared" si="2"/>
        <v>575</v>
      </c>
      <c r="N465" s="2651" t="str">
        <f>'Part V-Revenues &amp; Expenses'!N18</f>
        <v>No</v>
      </c>
      <c r="O465" s="1320" t="str">
        <f>'Part V-Revenues &amp; Expenses'!O18</f>
        <v>Low-Rise Elevator</v>
      </c>
      <c r="P465" s="2651" t="str">
        <f>'Part V-Revenues &amp; Expenses'!P18</f>
        <v>Rehabilitation</v>
      </c>
      <c r="Q465" s="1895" t="str">
        <f>'Part V-Revenues &amp; Expenses'!Q18</f>
        <v>Yes</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f t="shared" si="18"/>
        <v>1</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f t="shared" si="133"/>
        <v>395</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f t="shared" si="198"/>
        <v>1</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1</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f t="shared" si="273"/>
        <v>1</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756" t="str">
        <f t="shared" si="0"/>
        <v/>
      </c>
      <c r="B466" s="2575">
        <f>'Part V-Revenues &amp; Expenses'!B19</f>
        <v>50</v>
      </c>
      <c r="C466" s="2576" t="str">
        <f>'Part V-Revenues &amp; Expenses'!C19</f>
        <v>Efficiency</v>
      </c>
      <c r="D466" s="2577">
        <f>'Part V-Revenues &amp; Expenses'!D19</f>
        <v>1</v>
      </c>
      <c r="E466" s="2578">
        <f>'Part V-Revenues &amp; Expenses'!E19</f>
        <v>6</v>
      </c>
      <c r="F466" s="2578">
        <f>'Part V-Revenues &amp; Expenses'!F19</f>
        <v>491</v>
      </c>
      <c r="G466" s="2578">
        <f>'Part V-Revenues &amp; Expenses'!G19</f>
        <v>648</v>
      </c>
      <c r="H466" s="2578">
        <f>'Part V-Revenues &amp; Expenses'!H19</f>
        <v>648</v>
      </c>
      <c r="I466" s="2578">
        <f>'Part V-Revenues &amp; Expenses'!I19</f>
        <v>0</v>
      </c>
      <c r="J466" s="2578">
        <f>'Part V-Revenues &amp; Expenses'!J19</f>
        <v>0</v>
      </c>
      <c r="K466" s="2579" t="str">
        <f>'Part V-Revenues &amp; Expenses'!K19</f>
        <v>PHA PBRA</v>
      </c>
      <c r="L466" s="2580">
        <f t="shared" si="1"/>
        <v>648</v>
      </c>
      <c r="M466" s="2580">
        <f t="shared" si="2"/>
        <v>3888</v>
      </c>
      <c r="N466" s="2651" t="str">
        <f>'Part V-Revenues &amp; Expenses'!N19</f>
        <v>No</v>
      </c>
      <c r="O466" s="1320" t="str">
        <f>'Part V-Revenues &amp; Expenses'!O19</f>
        <v>Low-Rise Elevator</v>
      </c>
      <c r="P466" s="2651" t="str">
        <f>'Part V-Revenues &amp; Expenses'!P19</f>
        <v>Rehabilitation</v>
      </c>
      <c r="Q466" s="1895" t="str">
        <f>'Part V-Revenues &amp; Expenses'!Q19</f>
        <v>Yes</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f t="shared" si="18"/>
        <v>6</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f t="shared" si="58"/>
        <v>6</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f t="shared" si="133"/>
        <v>2946</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f t="shared" si="158"/>
        <v>2946</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f t="shared" si="198"/>
        <v>6</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f t="shared" si="213"/>
        <v>6</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f t="shared" si="273"/>
        <v>6</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756" t="str">
        <f t="shared" si="0"/>
        <v/>
      </c>
      <c r="B467" s="2575">
        <f>'Part V-Revenues &amp; Expenses'!B20</f>
        <v>50</v>
      </c>
      <c r="C467" s="2576">
        <f>'Part V-Revenues &amp; Expenses'!C20</f>
        <v>1</v>
      </c>
      <c r="D467" s="2577">
        <f>'Part V-Revenues &amp; Expenses'!D20</f>
        <v>1</v>
      </c>
      <c r="E467" s="2578">
        <f>'Part V-Revenues &amp; Expenses'!E20</f>
        <v>6</v>
      </c>
      <c r="F467" s="2578">
        <f>'Part V-Revenues &amp; Expenses'!F20</f>
        <v>634</v>
      </c>
      <c r="G467" s="2578">
        <f>'Part V-Revenues &amp; Expenses'!G20</f>
        <v>695</v>
      </c>
      <c r="H467" s="2578">
        <f>'Part V-Revenues &amp; Expenses'!H20</f>
        <v>695</v>
      </c>
      <c r="I467" s="2578">
        <f>'Part V-Revenues &amp; Expenses'!I20</f>
        <v>0</v>
      </c>
      <c r="J467" s="2578">
        <f>'Part V-Revenues &amp; Expenses'!J20</f>
        <v>0</v>
      </c>
      <c r="K467" s="2579" t="str">
        <f>'Part V-Revenues &amp; Expenses'!K20</f>
        <v>PHA PBRA</v>
      </c>
      <c r="L467" s="2580">
        <f t="shared" si="1"/>
        <v>695</v>
      </c>
      <c r="M467" s="2580">
        <f t="shared" si="2"/>
        <v>4170</v>
      </c>
      <c r="N467" s="2651" t="str">
        <f>'Part V-Revenues &amp; Expenses'!N20</f>
        <v>No</v>
      </c>
      <c r="O467" s="1320" t="str">
        <f>'Part V-Revenues &amp; Expenses'!O20</f>
        <v>Low-Rise Elevator</v>
      </c>
      <c r="P467" s="2651" t="str">
        <f>'Part V-Revenues &amp; Expenses'!P20</f>
        <v>Rehabilitation</v>
      </c>
      <c r="Q467" s="1895" t="str">
        <f>'Part V-Revenues &amp; Expenses'!Q20</f>
        <v>Yes</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6</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f t="shared" si="59"/>
        <v>6</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3804</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3804</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f t="shared" si="199"/>
        <v>6</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6</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f t="shared" si="274"/>
        <v>6</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756" t="str">
        <f t="shared" si="0"/>
        <v/>
      </c>
      <c r="B468" s="2575">
        <f>'Part V-Revenues &amp; Expenses'!B21</f>
        <v>60</v>
      </c>
      <c r="C468" s="2576" t="str">
        <f>'Part V-Revenues &amp; Expenses'!C21</f>
        <v>Efficiency</v>
      </c>
      <c r="D468" s="2577">
        <f>'Part V-Revenues &amp; Expenses'!D21</f>
        <v>1</v>
      </c>
      <c r="E468" s="2578">
        <f>'Part V-Revenues &amp; Expenses'!E21</f>
        <v>1</v>
      </c>
      <c r="F468" s="2578">
        <f>'Part V-Revenues &amp; Expenses'!F21</f>
        <v>395</v>
      </c>
      <c r="G468" s="2578">
        <f>'Part V-Revenues &amp; Expenses'!G21</f>
        <v>778</v>
      </c>
      <c r="H468" s="2578">
        <f>'Part V-Revenues &amp; Expenses'!H21</f>
        <v>600</v>
      </c>
      <c r="I468" s="2578">
        <f>'Part V-Revenues &amp; Expenses'!I21</f>
        <v>0</v>
      </c>
      <c r="J468" s="2578">
        <f>'Part V-Revenues &amp; Expenses'!J21</f>
        <v>0</v>
      </c>
      <c r="K468" s="2579">
        <f>'Part V-Revenues &amp; Expenses'!K21</f>
        <v>0</v>
      </c>
      <c r="L468" s="2580">
        <f t="shared" si="1"/>
        <v>600</v>
      </c>
      <c r="M468" s="2580">
        <f t="shared" si="2"/>
        <v>600</v>
      </c>
      <c r="N468" s="2651" t="str">
        <f>'Part V-Revenues &amp; Expenses'!N21</f>
        <v>No</v>
      </c>
      <c r="O468" s="1320" t="str">
        <f>'Part V-Revenues &amp; Expenses'!O21</f>
        <v>Low-Rise Elevator</v>
      </c>
      <c r="P468" s="2651" t="str">
        <f>'Part V-Revenues &amp; Expenses'!P21</f>
        <v>Rehabilitation</v>
      </c>
      <c r="Q468" s="1895" t="str">
        <f>'Part V-Revenues &amp; Expenses'!Q21</f>
        <v>Yes</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f t="shared" si="13"/>
        <v>1</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f t="shared" si="128"/>
        <v>395</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f t="shared" si="198"/>
        <v>1</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f t="shared" si="213"/>
        <v>1</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f t="shared" si="273"/>
        <v>1</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756" t="str">
        <f t="shared" si="0"/>
        <v/>
      </c>
      <c r="B469" s="2575">
        <f>'Part V-Revenues &amp; Expenses'!B22</f>
        <v>60</v>
      </c>
      <c r="C469" s="2576" t="str">
        <f>'Part V-Revenues &amp; Expenses'!C22</f>
        <v>Efficiency</v>
      </c>
      <c r="D469" s="2577">
        <f>'Part V-Revenues &amp; Expenses'!D22</f>
        <v>1</v>
      </c>
      <c r="E469" s="2578">
        <f>'Part V-Revenues &amp; Expenses'!E22</f>
        <v>1</v>
      </c>
      <c r="F469" s="2578">
        <f>'Part V-Revenues &amp; Expenses'!F22</f>
        <v>395</v>
      </c>
      <c r="G469" s="2578">
        <f>'Part V-Revenues &amp; Expenses'!G22</f>
        <v>778</v>
      </c>
      <c r="H469" s="2578">
        <f>'Part V-Revenues &amp; Expenses'!H22</f>
        <v>675</v>
      </c>
      <c r="I469" s="2578">
        <f>'Part V-Revenues &amp; Expenses'!I22</f>
        <v>0</v>
      </c>
      <c r="J469" s="2578">
        <f>'Part V-Revenues &amp; Expenses'!J22</f>
        <v>0</v>
      </c>
      <c r="K469" s="2579" t="str">
        <f>'Part V-Revenues &amp; Expenses'!K22</f>
        <v>PHA PBRA</v>
      </c>
      <c r="L469" s="2580">
        <f t="shared" si="1"/>
        <v>675</v>
      </c>
      <c r="M469" s="2580">
        <f t="shared" si="2"/>
        <v>675</v>
      </c>
      <c r="N469" s="2651" t="str">
        <f>'Part V-Revenues &amp; Expenses'!N22</f>
        <v>No</v>
      </c>
      <c r="O469" s="1320" t="str">
        <f>'Part V-Revenues &amp; Expenses'!O22</f>
        <v>Low-Rise Elevator</v>
      </c>
      <c r="P469" s="2651" t="str">
        <f>'Part V-Revenues &amp; Expenses'!P22</f>
        <v>Rehabilitation</v>
      </c>
      <c r="Q469" s="1895" t="str">
        <f>'Part V-Revenues &amp; Expenses'!Q22</f>
        <v>Yes</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f t="shared" si="13"/>
        <v>1</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f t="shared" si="63"/>
        <v>1</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f t="shared" si="128"/>
        <v>395</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f t="shared" si="158"/>
        <v>395</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f t="shared" si="198"/>
        <v>1</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f t="shared" si="213"/>
        <v>1</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f t="shared" si="273"/>
        <v>1</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756" t="str">
        <f t="shared" si="0"/>
        <v/>
      </c>
      <c r="B470" s="2575">
        <f>'Part V-Revenues &amp; Expenses'!B23</f>
        <v>60</v>
      </c>
      <c r="C470" s="2576" t="str">
        <f>'Part V-Revenues &amp; Expenses'!C23</f>
        <v>Efficiency</v>
      </c>
      <c r="D470" s="2577">
        <f>'Part V-Revenues &amp; Expenses'!D23</f>
        <v>1</v>
      </c>
      <c r="E470" s="2578">
        <f>'Part V-Revenues &amp; Expenses'!E23</f>
        <v>5</v>
      </c>
      <c r="F470" s="2578">
        <f>'Part V-Revenues &amp; Expenses'!F23</f>
        <v>491</v>
      </c>
      <c r="G470" s="2578">
        <f>'Part V-Revenues &amp; Expenses'!G23</f>
        <v>778</v>
      </c>
      <c r="H470" s="2578">
        <f>'Part V-Revenues &amp; Expenses'!H23</f>
        <v>675</v>
      </c>
      <c r="I470" s="2578">
        <f>'Part V-Revenues &amp; Expenses'!I23</f>
        <v>0</v>
      </c>
      <c r="J470" s="2578">
        <f>'Part V-Revenues &amp; Expenses'!J23</f>
        <v>0</v>
      </c>
      <c r="K470" s="2579" t="str">
        <f>'Part V-Revenues &amp; Expenses'!K23</f>
        <v>PHA PBRA</v>
      </c>
      <c r="L470" s="2580">
        <f t="shared" si="1"/>
        <v>675</v>
      </c>
      <c r="M470" s="2580">
        <f t="shared" si="2"/>
        <v>3375</v>
      </c>
      <c r="N470" s="2651" t="str">
        <f>'Part V-Revenues &amp; Expenses'!N23</f>
        <v>No</v>
      </c>
      <c r="O470" s="1320" t="str">
        <f>'Part V-Revenues &amp; Expenses'!O23</f>
        <v>Low-Rise Elevator</v>
      </c>
      <c r="P470" s="2651" t="str">
        <f>'Part V-Revenues &amp; Expenses'!P23</f>
        <v>Rehabilitation</v>
      </c>
      <c r="Q470" s="1895" t="str">
        <f>'Part V-Revenues &amp; Expenses'!Q23</f>
        <v>Yes</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f t="shared" si="13"/>
        <v>5</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f t="shared" si="63"/>
        <v>5</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f t="shared" si="128"/>
        <v>2455</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f t="shared" si="158"/>
        <v>2455</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f t="shared" si="198"/>
        <v>5</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f t="shared" si="213"/>
        <v>5</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f t="shared" si="273"/>
        <v>5</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756" t="str">
        <f t="shared" si="0"/>
        <v/>
      </c>
      <c r="B471" s="2575">
        <f>'Part V-Revenues &amp; Expenses'!B24</f>
        <v>60</v>
      </c>
      <c r="C471" s="2576" t="str">
        <f>'Part V-Revenues &amp; Expenses'!C24</f>
        <v>Efficiency</v>
      </c>
      <c r="D471" s="2577">
        <f>'Part V-Revenues &amp; Expenses'!D24</f>
        <v>1</v>
      </c>
      <c r="E471" s="2578">
        <f>'Part V-Revenues &amp; Expenses'!E24</f>
        <v>15</v>
      </c>
      <c r="F471" s="2578">
        <f>'Part V-Revenues &amp; Expenses'!F24</f>
        <v>491</v>
      </c>
      <c r="G471" s="2578">
        <f>'Part V-Revenues &amp; Expenses'!G24</f>
        <v>778</v>
      </c>
      <c r="H471" s="2578">
        <f>'Part V-Revenues &amp; Expenses'!H24</f>
        <v>675</v>
      </c>
      <c r="I471" s="2578">
        <f>'Part V-Revenues &amp; Expenses'!I24</f>
        <v>0</v>
      </c>
      <c r="J471" s="2578">
        <f>'Part V-Revenues &amp; Expenses'!J24</f>
        <v>0</v>
      </c>
      <c r="K471" s="2579">
        <f>'Part V-Revenues &amp; Expenses'!K24</f>
        <v>0</v>
      </c>
      <c r="L471" s="2580">
        <f t="shared" si="1"/>
        <v>675</v>
      </c>
      <c r="M471" s="2580">
        <f t="shared" si="2"/>
        <v>10125</v>
      </c>
      <c r="N471" s="2651" t="str">
        <f>'Part V-Revenues &amp; Expenses'!N24</f>
        <v>No</v>
      </c>
      <c r="O471" s="1320" t="str">
        <f>'Part V-Revenues &amp; Expenses'!O24</f>
        <v>Low-Rise Elevator</v>
      </c>
      <c r="P471" s="2651" t="str">
        <f>'Part V-Revenues &amp; Expenses'!P24</f>
        <v>Rehabilitation</v>
      </c>
      <c r="Q471" s="1895" t="str">
        <f>'Part V-Revenues &amp; Expenses'!Q24</f>
        <v>Yes</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f t="shared" si="13"/>
        <v>15</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f t="shared" si="128"/>
        <v>7365</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f t="shared" si="198"/>
        <v>15</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f t="shared" si="213"/>
        <v>15</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f t="shared" si="273"/>
        <v>15</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756" t="str">
        <f t="shared" si="0"/>
        <v/>
      </c>
      <c r="B472" s="2575">
        <f>'Part V-Revenues &amp; Expenses'!B25</f>
        <v>60</v>
      </c>
      <c r="C472" s="2576">
        <f>'Part V-Revenues &amp; Expenses'!C25</f>
        <v>1</v>
      </c>
      <c r="D472" s="2577">
        <f>'Part V-Revenues &amp; Expenses'!D25</f>
        <v>1</v>
      </c>
      <c r="E472" s="2578">
        <f>'Part V-Revenues &amp; Expenses'!E25</f>
        <v>14</v>
      </c>
      <c r="F472" s="2578">
        <f>'Part V-Revenues &amp; Expenses'!F25</f>
        <v>634</v>
      </c>
      <c r="G472" s="2578">
        <f>'Part V-Revenues &amp; Expenses'!G25</f>
        <v>834</v>
      </c>
      <c r="H472" s="2578">
        <f>'Part V-Revenues &amp; Expenses'!H25</f>
        <v>750</v>
      </c>
      <c r="I472" s="2578">
        <f>'Part V-Revenues &amp; Expenses'!I25</f>
        <v>0</v>
      </c>
      <c r="J472" s="2578">
        <f>'Part V-Revenues &amp; Expenses'!J25</f>
        <v>0</v>
      </c>
      <c r="K472" s="2579">
        <f>'Part V-Revenues &amp; Expenses'!K25</f>
        <v>0</v>
      </c>
      <c r="L472" s="2580">
        <f t="shared" si="1"/>
        <v>750</v>
      </c>
      <c r="M472" s="2580">
        <f t="shared" si="2"/>
        <v>10500</v>
      </c>
      <c r="N472" s="2651" t="str">
        <f>'Part V-Revenues &amp; Expenses'!N25</f>
        <v>No</v>
      </c>
      <c r="O472" s="1320" t="str">
        <f>'Part V-Revenues &amp; Expenses'!O25</f>
        <v>Low-Rise Elevator</v>
      </c>
      <c r="P472" s="2651" t="str">
        <f>'Part V-Revenues &amp; Expenses'!P25</f>
        <v>Rehabilitation</v>
      </c>
      <c r="Q472" s="1895" t="str">
        <f>'Part V-Revenues &amp; Expenses'!Q25</f>
        <v>Yes</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f t="shared" si="14"/>
        <v>14</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f t="shared" si="129"/>
        <v>8876</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f t="shared" si="199"/>
        <v>14</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f t="shared" si="214"/>
        <v>14</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f t="shared" si="274"/>
        <v>14</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756" t="str">
        <f t="shared" si="0"/>
        <v/>
      </c>
      <c r="B473" s="2575">
        <f>'Part V-Revenues &amp; Expenses'!B26</f>
        <v>60</v>
      </c>
      <c r="C473" s="2576">
        <f>'Part V-Revenues &amp; Expenses'!C26</f>
        <v>1</v>
      </c>
      <c r="D473" s="2577">
        <f>'Part V-Revenues &amp; Expenses'!D26</f>
        <v>1</v>
      </c>
      <c r="E473" s="2578">
        <f>'Part V-Revenues &amp; Expenses'!E26</f>
        <v>7</v>
      </c>
      <c r="F473" s="2578">
        <f>'Part V-Revenues &amp; Expenses'!F26</f>
        <v>634</v>
      </c>
      <c r="G473" s="2578">
        <f>'Part V-Revenues &amp; Expenses'!G26</f>
        <v>834</v>
      </c>
      <c r="H473" s="2578">
        <f>'Part V-Revenues &amp; Expenses'!H26</f>
        <v>750</v>
      </c>
      <c r="I473" s="2578">
        <f>'Part V-Revenues &amp; Expenses'!I26</f>
        <v>0</v>
      </c>
      <c r="J473" s="2578">
        <f>'Part V-Revenues &amp; Expenses'!J26</f>
        <v>0</v>
      </c>
      <c r="K473" s="2579" t="str">
        <f>'Part V-Revenues &amp; Expenses'!K26</f>
        <v>PHA PBRA</v>
      </c>
      <c r="L473" s="2580">
        <f t="shared" si="1"/>
        <v>750</v>
      </c>
      <c r="M473" s="2580">
        <f t="shared" si="2"/>
        <v>5250</v>
      </c>
      <c r="N473" s="2651" t="str">
        <f>'Part V-Revenues &amp; Expenses'!N26</f>
        <v>No</v>
      </c>
      <c r="O473" s="1320" t="str">
        <f>'Part V-Revenues &amp; Expenses'!O26</f>
        <v>Low-Rise Elevator</v>
      </c>
      <c r="P473" s="2651" t="str">
        <f>'Part V-Revenues &amp; Expenses'!P26</f>
        <v>Rehabilitation</v>
      </c>
      <c r="Q473" s="1895" t="str">
        <f>'Part V-Revenues &amp; Expenses'!Q26</f>
        <v>Yes</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f t="shared" si="14"/>
        <v>7</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f t="shared" si="64"/>
        <v>7</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f t="shared" si="129"/>
        <v>4438</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f t="shared" si="159"/>
        <v>4438</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f t="shared" si="199"/>
        <v>7</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f t="shared" si="214"/>
        <v>7</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f t="shared" si="274"/>
        <v>7</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756">
        <f>COUNT(A458,A459,A460,A461,A462,A463,A464,A465,A466,A467,A468,A469,A470,A471,A472,A473,A474,A475,A476,A477,A478,A479,A480,A481,A482,A483,A484,A485,A486,A487)</f>
        <v>0</v>
      </c>
      <c r="B496" s="2785" t="s">
        <v>3767</v>
      </c>
      <c r="C496" s="2785"/>
      <c r="D496" s="2786" t="s">
        <v>954</v>
      </c>
      <c r="E496" s="2581">
        <f>SUM(E458:E495)</f>
        <v>76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42080</v>
      </c>
      <c r="H496" s="2583" t="s">
        <v>3764</v>
      </c>
      <c r="I496" s="2787" t="s">
        <v>3765</v>
      </c>
      <c r="J496" s="2584" t="str">
        <f>IF(P514=0,"",IF(SUM(P505:P509)/P514&gt;=0.4,"Pass","Fail"))</f>
        <v>Pass</v>
      </c>
      <c r="K496" s="363"/>
      <c r="L496" s="2788" t="s">
        <v>1225</v>
      </c>
      <c r="M496" s="2585">
        <f>SUM(M458:M495)</f>
        <v>54758</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22</v>
      </c>
      <c r="AI496" s="1749">
        <f t="shared" si="338"/>
        <v>21</v>
      </c>
      <c r="AJ496" s="1749">
        <f t="shared" si="338"/>
        <v>0</v>
      </c>
      <c r="AK496" s="1749">
        <f t="shared" si="338"/>
        <v>0</v>
      </c>
      <c r="AL496" s="1749">
        <f t="shared" si="338"/>
        <v>0</v>
      </c>
      <c r="AM496" s="1749">
        <f>SUM(AM458:AM495)</f>
        <v>7</v>
      </c>
      <c r="AN496" s="1749">
        <f>SUM(AN458:AN495)</f>
        <v>6</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11</v>
      </c>
      <c r="BH496" s="1749">
        <f t="shared" si="338"/>
        <v>9</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6</v>
      </c>
      <c r="CB496" s="1749">
        <f t="shared" si="338"/>
        <v>6</v>
      </c>
      <c r="CC496" s="1749">
        <f t="shared" si="338"/>
        <v>0</v>
      </c>
      <c r="CD496" s="1749">
        <f t="shared" si="338"/>
        <v>0</v>
      </c>
      <c r="CE496" s="1749">
        <f t="shared" si="338"/>
        <v>0</v>
      </c>
      <c r="CF496" s="1749">
        <f t="shared" si="338"/>
        <v>6</v>
      </c>
      <c r="CG496" s="1749">
        <f t="shared" si="338"/>
        <v>7</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10610</v>
      </c>
      <c r="ET496" s="1749">
        <f t="shared" si="338"/>
        <v>13314</v>
      </c>
      <c r="EU496" s="1749">
        <f t="shared" si="338"/>
        <v>0</v>
      </c>
      <c r="EV496" s="1749">
        <f t="shared" si="338"/>
        <v>0</v>
      </c>
      <c r="EW496" s="1749">
        <f t="shared" si="338"/>
        <v>0</v>
      </c>
      <c r="EX496" s="1749">
        <f t="shared" si="338"/>
        <v>3341</v>
      </c>
      <c r="EY496" s="1749">
        <f t="shared" si="338"/>
        <v>3804</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5305</v>
      </c>
      <c r="FS496" s="1749">
        <f t="shared" si="340"/>
        <v>5706</v>
      </c>
      <c r="FT496" s="1749">
        <f t="shared" si="340"/>
        <v>0</v>
      </c>
      <c r="FU496" s="1749">
        <f t="shared" si="340"/>
        <v>0</v>
      </c>
      <c r="FV496" s="1749">
        <f t="shared" si="340"/>
        <v>0</v>
      </c>
      <c r="FW496" s="1749">
        <f t="shared" si="340"/>
        <v>5796</v>
      </c>
      <c r="FX496" s="1749">
        <f t="shared" si="340"/>
        <v>8242</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29</v>
      </c>
      <c r="HL496" s="1749">
        <f t="shared" si="340"/>
        <v>27</v>
      </c>
      <c r="HM496" s="1749">
        <f t="shared" si="340"/>
        <v>0</v>
      </c>
      <c r="HN496" s="1749">
        <f t="shared" si="340"/>
        <v>0</v>
      </c>
      <c r="HO496" s="1749">
        <f t="shared" si="340"/>
        <v>0</v>
      </c>
      <c r="HP496" s="1749">
        <f t="shared" si="340"/>
        <v>11</v>
      </c>
      <c r="HQ496" s="1749">
        <f t="shared" si="340"/>
        <v>9</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40</v>
      </c>
      <c r="IA496" s="1749">
        <f t="shared" si="341"/>
        <v>36</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40</v>
      </c>
      <c r="KI496" s="1749">
        <f>SUM(KI458:KI495)</f>
        <v>36</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89">
        <f>'Part V-Revenues &amp; Expenses'!B50</f>
        <v>57.678571428571431</v>
      </c>
      <c r="C497" s="2789"/>
      <c r="D497" s="2756" t="s">
        <v>3674</v>
      </c>
      <c r="E497" s="2581">
        <f>SUM(E465:E495)</f>
        <v>56</v>
      </c>
      <c r="F497" s="2582">
        <f>(E465*F465+E466*F466+E467*F467+E468*F468+E469*F469+E470*F470+E471*F471+E472*F472+E473*F473+E474*F474+E475*F475+E476*F476+E477*F477+E478*F478+E479*F479+E480*F480+E481*F481+E482*F482+E483*F483+E484*F484+E485*F485+E486*F486+E487*F487+E488*F488+E489*F489+E490*F490+E491*F491+E492*F492+E493*F493+E494*F494+E495*F495)</f>
        <v>31069</v>
      </c>
      <c r="H497" s="2583"/>
      <c r="I497" s="2787" t="s">
        <v>3766</v>
      </c>
      <c r="J497" s="2584" t="str">
        <f>IF(P514=0,"",IF(SUM(P506:P509)/P514&gt;=0.2,"Pass","Fail"))</f>
        <v>Fail</v>
      </c>
      <c r="K497" s="363"/>
      <c r="L497" s="2786" t="s">
        <v>757</v>
      </c>
      <c r="M497" s="2585">
        <f>M496*12</f>
        <v>657096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6640</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4074</v>
      </c>
      <c r="B503" s="2794"/>
      <c r="C503" s="359" t="s">
        <v>1069</v>
      </c>
      <c r="D503" s="359"/>
      <c r="E503" s="359"/>
      <c r="F503" s="359"/>
      <c r="H503" s="1503" t="s">
        <v>3675</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3676</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22</v>
      </c>
      <c r="L505" s="2586">
        <f>AI496</f>
        <v>21</v>
      </c>
      <c r="M505" s="2586">
        <f>AJ496</f>
        <v>0</v>
      </c>
      <c r="N505" s="2586">
        <f>AK496</f>
        <v>0</v>
      </c>
      <c r="O505" s="2586">
        <f>AL496</f>
        <v>0</v>
      </c>
      <c r="P505" s="2586">
        <f t="shared" si="344"/>
        <v>43</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7</v>
      </c>
      <c r="L506" s="2586">
        <f>AN496</f>
        <v>6</v>
      </c>
      <c r="M506" s="2586">
        <f>AO496</f>
        <v>0</v>
      </c>
      <c r="N506" s="2586">
        <f>AP496</f>
        <v>0</v>
      </c>
      <c r="O506" s="2586">
        <f>AQ496</f>
        <v>0</v>
      </c>
      <c r="P506" s="2586">
        <f t="shared" si="344"/>
        <v>13</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3677</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3678</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3679</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3761</v>
      </c>
      <c r="D510" s="359"/>
      <c r="E510" s="359"/>
      <c r="F510" s="359"/>
      <c r="H510" s="360"/>
      <c r="I510" s="807"/>
      <c r="K510" s="2586">
        <f>SUM(K503:K509)</f>
        <v>29</v>
      </c>
      <c r="L510" s="2586">
        <f>SUM(L503:L509)</f>
        <v>27</v>
      </c>
      <c r="M510" s="2586">
        <f>SUM(M503:M509)</f>
        <v>0</v>
      </c>
      <c r="N510" s="2586">
        <f>SUM(N503:N509)</f>
        <v>0</v>
      </c>
      <c r="O510" s="2586">
        <f>SUM(O503:O509)</f>
        <v>0</v>
      </c>
      <c r="P510" s="2586">
        <f t="shared" si="344"/>
        <v>56</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11</v>
      </c>
      <c r="L511" s="2586">
        <f>BH496</f>
        <v>9</v>
      </c>
      <c r="M511" s="2586">
        <f>BI496</f>
        <v>0</v>
      </c>
      <c r="N511" s="2586">
        <f>BJ496</f>
        <v>0</v>
      </c>
      <c r="O511" s="2586">
        <f>BK496</f>
        <v>0</v>
      </c>
      <c r="P511" s="2586">
        <f t="shared" si="344"/>
        <v>20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40</v>
      </c>
      <c r="L512" s="2587">
        <f>SUM(L510:L511)</f>
        <v>36</v>
      </c>
      <c r="M512" s="2587">
        <f>SUM(M510:M511)</f>
        <v>0</v>
      </c>
      <c r="N512" s="2587">
        <f>SUM(N510:N511)</f>
        <v>0</v>
      </c>
      <c r="O512" s="2587">
        <f>SUM(O510:O511)</f>
        <v>0</v>
      </c>
      <c r="P512" s="2587">
        <f t="shared" si="344"/>
        <v>76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40</v>
      </c>
      <c r="L514" s="2588">
        <f>SUM(L512:L513)</f>
        <v>36</v>
      </c>
      <c r="M514" s="2588">
        <f>SUM(M512:M513)</f>
        <v>0</v>
      </c>
      <c r="N514" s="2588">
        <f>SUM(N512:N513)</f>
        <v>0</v>
      </c>
      <c r="O514" s="2588">
        <f>SUM(O512:O513)</f>
        <v>0</v>
      </c>
      <c r="P514" s="2588">
        <f t="shared" si="344"/>
        <v>76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3770</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3675</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4068</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3676</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6978</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4066</v>
      </c>
      <c r="D523" s="2621"/>
      <c r="E523" s="2621"/>
      <c r="F523" s="2621"/>
      <c r="H523" s="1503" t="s">
        <v>1081</v>
      </c>
      <c r="I523" s="362"/>
      <c r="J523" s="359"/>
      <c r="K523" s="2803">
        <f t="shared" ref="K523:P523" si="349">IF(OR(K505=0,K514=0),"",K505/K514)</f>
        <v>0.55000000000000004</v>
      </c>
      <c r="L523" s="2803">
        <f t="shared" si="349"/>
        <v>0.58333333333333337</v>
      </c>
      <c r="M523" s="2803" t="str">
        <f t="shared" si="349"/>
        <v/>
      </c>
      <c r="N523" s="2803" t="str">
        <f t="shared" si="349"/>
        <v/>
      </c>
      <c r="O523" s="2803" t="str">
        <f t="shared" si="349"/>
        <v/>
      </c>
      <c r="P523" s="2803">
        <f t="shared" si="349"/>
        <v>0.56578947368421051</v>
      </c>
      <c r="S523" s="2784"/>
      <c r="T523" s="2784"/>
      <c r="U523" s="2784"/>
      <c r="V523" s="2784"/>
      <c r="W523" s="2784"/>
    </row>
    <row r="524" spans="1:343" ht="15.75" customHeight="1">
      <c r="C524" s="2805"/>
      <c r="D524" s="2621"/>
      <c r="E524" s="2621"/>
      <c r="F524" s="2621"/>
      <c r="H524" s="1503" t="s">
        <v>6978</v>
      </c>
      <c r="I524" s="362"/>
      <c r="J524" s="359"/>
      <c r="K524" s="2804">
        <f>IF(OR(K505=0,P523="",K514=0),"",P523*K514)</f>
        <v>22.631578947368421</v>
      </c>
      <c r="L524" s="2804">
        <f>IF(OR(L505=0,P523="",L514=0),"",P523*L514)</f>
        <v>20.368421052631579</v>
      </c>
      <c r="M524" s="2804" t="str">
        <f>IF(OR(M505=0,P523="",M514=0),"",P523*M514)</f>
        <v/>
      </c>
      <c r="N524" s="2804" t="str">
        <f>IF(OR(N505=0,P523="",N514=0),"",P523*N514)</f>
        <v/>
      </c>
      <c r="O524" s="2804" t="str">
        <f>IF(OR(O505=0,P523="",O514=0),"",P523*O514)</f>
        <v/>
      </c>
      <c r="P524" s="2804">
        <f>IF(OR(P523="",P514=0),"",P523*P514)</f>
        <v>43</v>
      </c>
      <c r="S524" s="2784"/>
      <c r="T524" s="2784"/>
      <c r="U524" s="2784"/>
      <c r="V524" s="2784"/>
      <c r="W524" s="2784"/>
    </row>
    <row r="525" spans="1:343" ht="15.75" customHeight="1">
      <c r="C525" s="2805"/>
      <c r="D525" s="2621"/>
      <c r="E525" s="2621"/>
      <c r="F525" s="2621"/>
      <c r="G525" s="2787"/>
      <c r="H525" s="1503" t="s">
        <v>6979</v>
      </c>
      <c r="I525" s="362"/>
      <c r="J525" s="359"/>
      <c r="K525" s="2804">
        <f t="shared" ref="K525:P525" si="350">IF(OR(K524="",K505=0),"", K505-K524)</f>
        <v>-0.63157894736842124</v>
      </c>
      <c r="L525" s="2804">
        <f t="shared" si="350"/>
        <v>0.63157894736842124</v>
      </c>
      <c r="M525" s="2804" t="str">
        <f t="shared" si="350"/>
        <v/>
      </c>
      <c r="N525" s="2804" t="str">
        <f t="shared" si="350"/>
        <v/>
      </c>
      <c r="O525" s="2804" t="str">
        <f t="shared" si="350"/>
        <v/>
      </c>
      <c r="P525" s="2804">
        <f t="shared" si="350"/>
        <v>0</v>
      </c>
    </row>
    <row r="526" spans="1:343">
      <c r="C526" s="2805" t="s">
        <v>4066</v>
      </c>
      <c r="D526" s="2805"/>
      <c r="E526" s="2805"/>
      <c r="H526" s="1503" t="s">
        <v>112</v>
      </c>
      <c r="I526" s="362"/>
      <c r="J526" s="359"/>
      <c r="K526" s="2803">
        <f t="shared" ref="K526:P526" si="351">IF(OR(K506=0,K514=0),"",K506/K514)</f>
        <v>0.17499999999999999</v>
      </c>
      <c r="L526" s="2803">
        <f t="shared" si="351"/>
        <v>0.16666666666666666</v>
      </c>
      <c r="M526" s="2803" t="str">
        <f t="shared" si="351"/>
        <v/>
      </c>
      <c r="N526" s="2803" t="str">
        <f t="shared" si="351"/>
        <v/>
      </c>
      <c r="O526" s="2803" t="str">
        <f t="shared" si="351"/>
        <v/>
      </c>
      <c r="P526" s="2803">
        <f t="shared" si="351"/>
        <v>0.17105263157894737</v>
      </c>
    </row>
    <row r="527" spans="1:343">
      <c r="C527" s="2805"/>
      <c r="D527" s="2805"/>
      <c r="E527" s="2805"/>
      <c r="H527" s="1503" t="s">
        <v>6978</v>
      </c>
      <c r="I527" s="362"/>
      <c r="J527" s="359"/>
      <c r="K527" s="2804">
        <f>IF(OR(K506=0,P526="",K514=0),"",P526*K514)</f>
        <v>6.8421052631578947</v>
      </c>
      <c r="L527" s="2804">
        <f>IF(OR(L506=0,P526="",L514=0),"",P526*L514)</f>
        <v>6.1578947368421053</v>
      </c>
      <c r="M527" s="2804" t="str">
        <f>IF(OR(M506=0,P526="",M514=0),"",P526*M514)</f>
        <v/>
      </c>
      <c r="N527" s="2804" t="str">
        <f>IF(OR(N506=0,P526="",N514=0),"",P526*N514)</f>
        <v/>
      </c>
      <c r="O527" s="2804" t="str">
        <f>IF(OR(O506=0,P526="",O514=0),"",P526*O514)</f>
        <v/>
      </c>
      <c r="P527" s="2804">
        <f>IF(OR(P526="",P514=0),"",P526*P514)</f>
        <v>13</v>
      </c>
    </row>
    <row r="528" spans="1:343">
      <c r="C528" s="2805"/>
      <c r="D528" s="2805"/>
      <c r="E528" s="2805"/>
      <c r="G528" s="2787"/>
      <c r="H528" s="1503" t="s">
        <v>6979</v>
      </c>
      <c r="I528" s="362"/>
      <c r="J528" s="359"/>
      <c r="K528" s="2804">
        <f t="shared" ref="K528:P528" si="352">IF(OR(K527="",K506=0),"", K506-K527)</f>
        <v>0.15789473684210531</v>
      </c>
      <c r="L528" s="2804">
        <f t="shared" si="352"/>
        <v>-0.15789473684210531</v>
      </c>
      <c r="M528" s="2804" t="str">
        <f t="shared" si="352"/>
        <v/>
      </c>
      <c r="N528" s="2804" t="str">
        <f t="shared" si="352"/>
        <v/>
      </c>
      <c r="O528" s="2804" t="str">
        <f t="shared" si="352"/>
        <v/>
      </c>
      <c r="P528" s="2804">
        <f t="shared" si="352"/>
        <v>0</v>
      </c>
    </row>
    <row r="529" spans="1:343">
      <c r="C529" s="2805" t="s">
        <v>4066</v>
      </c>
      <c r="D529" s="2805"/>
      <c r="E529" s="2805"/>
      <c r="H529" s="1503" t="s">
        <v>3677</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4066</v>
      </c>
      <c r="H532" s="1503" t="s">
        <v>3678</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6978</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6979</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4066</v>
      </c>
      <c r="H535" s="1503" t="s">
        <v>3679</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3675</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3676</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6</v>
      </c>
      <c r="L542" s="2586">
        <f>CG496</f>
        <v>7</v>
      </c>
      <c r="M542" s="2586">
        <f>CH496</f>
        <v>0</v>
      </c>
      <c r="N542" s="2586">
        <f>CI496</f>
        <v>0</v>
      </c>
      <c r="O542" s="2586">
        <f>CJ496</f>
        <v>0</v>
      </c>
      <c r="P542" s="2586">
        <f t="shared" si="359"/>
        <v>13</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6</v>
      </c>
      <c r="L543" s="2586">
        <f>CB496</f>
        <v>6</v>
      </c>
      <c r="M543" s="2586">
        <f>CC496</f>
        <v>0</v>
      </c>
      <c r="N543" s="2586">
        <f>CD496</f>
        <v>0</v>
      </c>
      <c r="O543" s="2586">
        <f>CE496</f>
        <v>0</v>
      </c>
      <c r="P543" s="2586">
        <f t="shared" si="359"/>
        <v>12</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3677</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3678</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3679</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12</v>
      </c>
      <c r="L547" s="2588">
        <f>SUM(L540:L546)</f>
        <v>13</v>
      </c>
      <c r="M547" s="2588">
        <f>SUM(M540:M546)</f>
        <v>0</v>
      </c>
      <c r="N547" s="2588">
        <f>SUM(N540:N546)</f>
        <v>0</v>
      </c>
      <c r="O547" s="2588">
        <f>SUM(O540:O546)</f>
        <v>0</v>
      </c>
      <c r="P547" s="2588">
        <f t="shared" si="359"/>
        <v>25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3675</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3676</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3677</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3678</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3679</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29</v>
      </c>
      <c r="L566" s="2586">
        <f>HL496</f>
        <v>27</v>
      </c>
      <c r="M566" s="2586">
        <f>HM496</f>
        <v>0</v>
      </c>
      <c r="N566" s="2586">
        <f>HN496</f>
        <v>0</v>
      </c>
      <c r="O566" s="2586">
        <f>HO496</f>
        <v>0</v>
      </c>
      <c r="P566" s="2586">
        <f t="shared" si="361"/>
        <v>56</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11</v>
      </c>
      <c r="L567" s="2586">
        <f>HQ496</f>
        <v>9</v>
      </c>
      <c r="M567" s="2586">
        <f>HR496</f>
        <v>0</v>
      </c>
      <c r="N567" s="2586">
        <f>HS496</f>
        <v>0</v>
      </c>
      <c r="O567" s="2586">
        <f>HT496</f>
        <v>0</v>
      </c>
      <c r="P567" s="2586">
        <f t="shared" si="361"/>
        <v>20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40</v>
      </c>
      <c r="L568" s="2588">
        <f>SUM(L566:L567)+HV496</f>
        <v>36</v>
      </c>
      <c r="M568" s="2588">
        <f>SUM(M566:M567)+HW496</f>
        <v>0</v>
      </c>
      <c r="N568" s="2588">
        <f>SUM(N566:N567)+HX496</f>
        <v>0</v>
      </c>
      <c r="O568" s="2588">
        <f>SUM(O566:O567)+HY496</f>
        <v>0</v>
      </c>
      <c r="P568" s="2588">
        <f t="shared" si="361"/>
        <v>76</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6747</v>
      </c>
      <c r="F570" s="359"/>
      <c r="G570" s="2622"/>
      <c r="H570" s="360"/>
      <c r="K570" s="2586">
        <f>'Part V-Revenues &amp; Expenses'!K123</f>
        <v>40</v>
      </c>
      <c r="L570" s="2586">
        <f>'Part V-Revenues &amp; Expenses'!L123</f>
        <v>36</v>
      </c>
      <c r="M570" s="2586">
        <f>'Part V-Revenues &amp; Expenses'!M123</f>
        <v>0</v>
      </c>
      <c r="N570" s="2586">
        <f>'Part V-Revenues &amp; Expenses'!N123</f>
        <v>0</v>
      </c>
      <c r="O570" s="2586">
        <f>'Part V-Revenues &amp; Expenses'!O123</f>
        <v>0</v>
      </c>
      <c r="P570" s="2586">
        <f t="shared" si="361"/>
        <v>76</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40</v>
      </c>
      <c r="L574" s="2588">
        <f t="shared" si="362"/>
        <v>36</v>
      </c>
      <c r="M574" s="2588">
        <f t="shared" si="362"/>
        <v>0</v>
      </c>
      <c r="N574" s="2588">
        <f t="shared" si="362"/>
        <v>0</v>
      </c>
      <c r="O574" s="2588">
        <f t="shared" si="362"/>
        <v>0</v>
      </c>
      <c r="P574" s="2588">
        <f t="shared" si="362"/>
        <v>76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6290</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6477</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40</v>
      </c>
      <c r="L578" s="2587">
        <f>KI496</f>
        <v>36</v>
      </c>
      <c r="M578" s="2587">
        <f>KJ496</f>
        <v>0</v>
      </c>
      <c r="N578" s="2587">
        <f>KK496</f>
        <v>0</v>
      </c>
      <c r="O578" s="2587">
        <f>KL496</f>
        <v>0</v>
      </c>
      <c r="P578" s="2587">
        <f t="shared" si="363"/>
        <v>76</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6292</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6484</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6479</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6480</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6286</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40</v>
      </c>
      <c r="L601" s="2587">
        <f t="shared" si="367"/>
        <v>36</v>
      </c>
      <c r="M601" s="2587">
        <f t="shared" si="367"/>
        <v>0</v>
      </c>
      <c r="N601" s="2587">
        <f t="shared" si="367"/>
        <v>0</v>
      </c>
      <c r="O601" s="2587">
        <f t="shared" si="367"/>
        <v>0</v>
      </c>
      <c r="P601" s="2589">
        <f t="shared" si="365"/>
        <v>76</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3675</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3676</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10610</v>
      </c>
      <c r="L606" s="2590">
        <f>ET496</f>
        <v>13314</v>
      </c>
      <c r="M606" s="2590">
        <f>EU496</f>
        <v>0</v>
      </c>
      <c r="N606" s="2590">
        <f>EV496</f>
        <v>0</v>
      </c>
      <c r="O606" s="2590">
        <f>EW496</f>
        <v>0</v>
      </c>
      <c r="P606" s="2590">
        <f t="shared" si="368"/>
        <v>23924</v>
      </c>
      <c r="Q606" s="2804">
        <f t="shared" si="369"/>
        <v>556.37209302325584</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3341</v>
      </c>
      <c r="L607" s="2590">
        <f>EY496</f>
        <v>3804</v>
      </c>
      <c r="M607" s="2590">
        <f>EZ496</f>
        <v>0</v>
      </c>
      <c r="N607" s="2590">
        <f>FA496</f>
        <v>0</v>
      </c>
      <c r="O607" s="2590">
        <f>FB496</f>
        <v>0</v>
      </c>
      <c r="P607" s="2590">
        <f t="shared" si="368"/>
        <v>7145</v>
      </c>
      <c r="Q607" s="2804">
        <f t="shared" si="369"/>
        <v>549.61538461538464</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3677</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3678</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3679</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3760</v>
      </c>
      <c r="I611" s="2812"/>
      <c r="J611" s="2797"/>
      <c r="K611" s="2591">
        <f>SUM(K604:K610)</f>
        <v>13951</v>
      </c>
      <c r="L611" s="2591">
        <f>SUM(L604:L610)</f>
        <v>17118</v>
      </c>
      <c r="M611" s="2591">
        <f>SUM(M604:M610)</f>
        <v>0</v>
      </c>
      <c r="N611" s="2591">
        <f>SUM(N604:N610)</f>
        <v>0</v>
      </c>
      <c r="O611" s="2591">
        <f>SUM(O604:O610)</f>
        <v>0</v>
      </c>
      <c r="P611" s="2591">
        <f>SUM(K611:O611)</f>
        <v>31069</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5305</v>
      </c>
      <c r="L612" s="2590">
        <f>FS496</f>
        <v>5706</v>
      </c>
      <c r="M612" s="2590">
        <f>FT496</f>
        <v>0</v>
      </c>
      <c r="N612" s="2590">
        <f>FU496</f>
        <v>0</v>
      </c>
      <c r="O612" s="2590">
        <f>FV496</f>
        <v>0</v>
      </c>
      <c r="P612" s="2590">
        <f>SUM(K612:O612)</f>
        <v>11011</v>
      </c>
      <c r="Q612" s="2804">
        <f>IF(OR(P511=0,P511=""),"",P612/P511)</f>
        <v>550.54999999999995</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19256</v>
      </c>
      <c r="L613" s="2592">
        <f>SUM(L611:L612)</f>
        <v>22824</v>
      </c>
      <c r="M613" s="2592">
        <f>SUM(M611:M612)</f>
        <v>0</v>
      </c>
      <c r="N613" s="2592">
        <f>SUM(N611:N612)</f>
        <v>0</v>
      </c>
      <c r="O613" s="2592">
        <f>SUM(O611:O612)</f>
        <v>0</v>
      </c>
      <c r="P613" s="2592">
        <f>SUM(K613:O613)</f>
        <v>42080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19256</v>
      </c>
      <c r="L615" s="2593">
        <f>SUM(L613:L614)</f>
        <v>22824</v>
      </c>
      <c r="M615" s="2593">
        <f>SUM(M613:M614)</f>
        <v>0</v>
      </c>
      <c r="N615" s="2593">
        <f>SUM(N613:N614)</f>
        <v>0</v>
      </c>
      <c r="O615" s="2593">
        <f>SUM(O613:O614)</f>
        <v>0</v>
      </c>
      <c r="P615" s="2593">
        <f>SUM(K615:O615)</f>
        <v>42080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f>IF(OR(K514="",K514=0),"",K615/K514)</f>
        <v>481.4</v>
      </c>
      <c r="L618" s="2818">
        <f>IF(OR(L514="",L514=0),"",L615/L514)</f>
        <v>634</v>
      </c>
      <c r="M618" s="2818" t="str">
        <f>IF(OR(M514="",M514=0),"",M615/M514)</f>
        <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36940</v>
      </c>
      <c r="L621" s="2549"/>
      <c r="Z621" s="1622">
        <v>68</v>
      </c>
    </row>
    <row r="622" spans="1:380" s="1819" customFormat="1" ht="13.35" customHeight="1">
      <c r="A622" s="2615"/>
      <c r="C622" s="377" t="s">
        <v>242</v>
      </c>
      <c r="K622" s="2549">
        <f>P615+K621</f>
        <v>79020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13141.92</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31166</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60000</v>
      </c>
      <c r="G668" s="2590"/>
      <c r="I668" s="359" t="s">
        <v>1300</v>
      </c>
      <c r="L668" s="2590">
        <f>'Part V-Revenues &amp; Expenses'!L221</f>
        <v>0</v>
      </c>
      <c r="M668" s="2590"/>
      <c r="O668" s="2599">
        <f>+Q667/(P514*0.93)</f>
        <v>440.9451046972269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48000</v>
      </c>
      <c r="G669" s="2590"/>
      <c r="I669" s="359" t="s">
        <v>1301</v>
      </c>
      <c r="L669" s="2590">
        <f>'Part V-Revenues &amp; Expenses'!L222</f>
        <v>0</v>
      </c>
      <c r="M669" s="2590"/>
      <c r="O669" s="2599">
        <f>+Q667/(P514*0.93)/12</f>
        <v>36.745425391435575</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30000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6630</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4018</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138000</v>
      </c>
      <c r="G674" s="2590"/>
      <c r="I674" s="359" t="s">
        <v>1497</v>
      </c>
      <c r="L674" s="2590">
        <f>'Part V-Revenues &amp; Expenses'!L227</f>
        <v>1200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8400</v>
      </c>
      <c r="M675" s="2590"/>
      <c r="N675" s="2771" t="str">
        <f>IF(Q677="","",IF(Q675&lt;Q677, "WARNING! OE below required minimum.",""))</f>
        <v/>
      </c>
      <c r="O675" s="1747" t="s">
        <v>2029</v>
      </c>
      <c r="Q675" s="2818">
        <f>F674+F683+F694+L670+L678+L688+L694+Q667</f>
        <v>418366</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2486</v>
      </c>
      <c r="P676" s="2599">
        <f>+Q675/P514</f>
        <v>5504.8157894736842</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831"/>
      <c r="F677" s="2590">
        <f>'Part V-Revenues &amp; Expenses'!F230</f>
        <v>2400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342000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2400</v>
      </c>
      <c r="G678" s="2590"/>
      <c r="I678" s="1747"/>
      <c r="K678" s="2828" t="s">
        <v>184</v>
      </c>
      <c r="L678" s="2818">
        <f>SUM(L674:L677)</f>
        <v>9600</v>
      </c>
      <c r="M678" s="2818"/>
      <c r="N678" s="2771"/>
      <c r="O678" s="2833" t="s">
        <v>6723</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600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600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831"/>
      <c r="F681" s="2590">
        <f>'Part V-Revenues &amp; Expenses'!F234</f>
        <v>1800</v>
      </c>
      <c r="G681" s="2590"/>
      <c r="I681" s="1747" t="s">
        <v>1297</v>
      </c>
      <c r="K681" s="1622" t="s">
        <v>3882</v>
      </c>
      <c r="O681" s="1747" t="s">
        <v>3085</v>
      </c>
      <c r="P681" s="1747"/>
      <c r="Q681" s="2600">
        <f>'Part V-Revenues &amp; Expenses'!Q234</f>
        <v>31920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75</v>
      </c>
      <c r="L682" s="2590">
        <f>'Part V-Revenues &amp; Expenses'!L235</f>
        <v>68400</v>
      </c>
      <c r="M682" s="2590"/>
      <c r="N682" s="2771" t="str">
        <f>IF(Q681&lt;Q690, "WARNING! RR proposed is below the DCA required minimum.","")</f>
        <v/>
      </c>
      <c r="O682" s="362" t="s">
        <v>3881</v>
      </c>
      <c r="Q682" s="2601" t="e">
        <f>Q681/P690</f>
        <v>#DIV/0!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7800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3927</v>
      </c>
      <c r="K684" s="2717">
        <f>L684/12/P514</f>
        <v>25</v>
      </c>
      <c r="L684" s="2590">
        <f>'Part V-Revenues &amp; Expenses'!L237</f>
        <v>22800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831"/>
      <c r="I685" s="359" t="s">
        <v>1293</v>
      </c>
      <c r="K685" s="2717">
        <f>L685/12/P514</f>
        <v>6.5789473684210522</v>
      </c>
      <c r="L685" s="2590">
        <f>'Part V-Revenues &amp; Expenses'!L238</f>
        <v>6000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12000</v>
      </c>
      <c r="G686" s="2590"/>
      <c r="I686" s="359" t="s">
        <v>6991</v>
      </c>
      <c r="K686" s="2717">
        <f>L686/12/P514</f>
        <v>3.2894736842105261</v>
      </c>
      <c r="L686" s="2590">
        <f>'Part V-Revenues &amp; Expenses'!L239</f>
        <v>3000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18000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3600</v>
      </c>
      <c r="G688" s="2590"/>
      <c r="K688" s="2828" t="s">
        <v>184</v>
      </c>
      <c r="L688" s="2818">
        <f>SUM(L682:L687)</f>
        <v>100200</v>
      </c>
      <c r="M688" s="2818"/>
      <c r="N688" s="2771"/>
      <c r="O688" s="2675" t="s">
        <v>6497</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2400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831"/>
      <c r="F690" s="2590">
        <f>'Part V-Revenues &amp; Expenses'!F243</f>
        <v>3600</v>
      </c>
      <c r="G690" s="2590"/>
      <c r="I690" s="1747" t="s">
        <v>1298</v>
      </c>
      <c r="O690" s="2788" t="s">
        <v>2467</v>
      </c>
      <c r="P690" s="2782">
        <f>'Part V-Revenues &amp; Expenses'!P243</f>
        <v>0</v>
      </c>
      <c r="Q690" s="2838">
        <f>SUM(Q686:Q689)</f>
        <v>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5000</v>
      </c>
      <c r="G691" s="2590"/>
      <c r="I691" s="359" t="s">
        <v>6992</v>
      </c>
      <c r="L691" s="2590">
        <f>'Part V-Revenues &amp; Expenses'!L244</f>
        <v>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12000</v>
      </c>
      <c r="G692" s="2590"/>
      <c r="I692" s="359" t="s">
        <v>140</v>
      </c>
      <c r="L692" s="2590">
        <f>'Part V-Revenues &amp; Expenses'!L245</f>
        <v>75000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828" t="s">
        <v>184</v>
      </c>
      <c r="F694" s="2590">
        <f>SUM(F686:G693)</f>
        <v>56600</v>
      </c>
      <c r="G694" s="2590"/>
      <c r="K694" s="2828" t="s">
        <v>184</v>
      </c>
      <c r="L694" s="2818">
        <f>SUM(L690:L693)</f>
        <v>75000</v>
      </c>
      <c r="M694" s="2818"/>
      <c r="O694" s="1747" t="s">
        <v>2030</v>
      </c>
      <c r="Q694" s="2818">
        <f>Q675+Q681</f>
        <v>450286</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3373</v>
      </c>
      <c r="B698" s="1747" t="s">
        <v>3871</v>
      </c>
      <c r="C698" s="2828"/>
      <c r="H698" s="2586"/>
      <c r="I698" s="2602" t="s">
        <v>3872</v>
      </c>
      <c r="K698" s="2818">
        <f>'Part V-Revenues &amp; Expenses'!K251</f>
        <v>0</v>
      </c>
      <c r="L698" s="2818"/>
      <c r="M698" s="2830" t="s">
        <v>3899</v>
      </c>
      <c r="N698" s="2804">
        <f>'Part V-Revenues &amp; Expenses'!N251</f>
        <v>75</v>
      </c>
      <c r="O698" s="1747" t="s">
        <v>3874</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828"/>
      <c r="F700" s="2586"/>
      <c r="G700" s="2586"/>
      <c r="J700" s="1894" t="str">
        <f>'Part V-Revenues &amp; Expenses'!J253</f>
        <v>No</v>
      </c>
      <c r="K700" s="2602" t="s">
        <v>3902</v>
      </c>
      <c r="L700" s="1894" t="str">
        <f>'Part V-Revenues &amp; Expenses'!L253</f>
        <v>&lt;&lt;Select&gt;&gt;</v>
      </c>
      <c r="M700" s="1894" t="s">
        <v>3903</v>
      </c>
      <c r="N700" s="2804">
        <f>'Part V-Revenues &amp; Expenses'!N253</f>
        <v>0</v>
      </c>
      <c r="O700" s="359" t="s">
        <v>3901</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Property taxes are input at "0".  This is not an abatement.  Since this project is located on tax exempt federal property, no taxes are due.  We have provided the 2022 audited expenses from a sister project on the campus showing that no taxes were paid.  Further, as a historic tax credit project, the property taxes are frozen at the current level, which is $0.
Insurance was based on an estimate from the agency that writes the insurance for other Veteran projects this Team is engaged in around the country.  The email estimate of that cost is included in Tab 2.  This quote is higher than the audited pricing for the other project on the campus noted above, but we decided to use the agency number as insurance rates are volatile and this approach was more conservative.
For some reason the reserve calculation is not computing, so we entered the $420/unit/year into that cell, which is the appropriate amount for a historic rehab project.  
Ancillary income will include application fees, late charges, forfeited pet deposits, damage fees, forfeited deposits and lost key fees.
Free high speed internet will be provided in the common areas and the technology center.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3372</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Freedom's Path Augusta III,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9500</v>
      </c>
      <c r="H713" s="2814" t="s">
        <v>1768</v>
      </c>
      <c r="K713" s="2842">
        <f>'Part VI-Pro Forma'!K6</f>
        <v>-1.5240936775765924E-2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4.9999898479317982E-2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0.05</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657096</v>
      </c>
      <c r="C722" s="2606">
        <f>'Part VI-Pro Forma'!C15</f>
        <v>670237.92000000004</v>
      </c>
      <c r="D722" s="2606">
        <f>'Part VI-Pro Forma'!D15</f>
        <v>683642.67839999998</v>
      </c>
      <c r="E722" s="2606">
        <f>'Part VI-Pro Forma'!E15</f>
        <v>697315.531968</v>
      </c>
      <c r="F722" s="2606">
        <f>'Part VI-Pro Forma'!F15</f>
        <v>711261.84260735998</v>
      </c>
      <c r="G722" s="2606">
        <f>'Part VI-Pro Forma'!G15</f>
        <v>725487.07945950725</v>
      </c>
      <c r="H722" s="2606">
        <f>'Part VI-Pro Forma'!H15</f>
        <v>739996.82104869734</v>
      </c>
      <c r="I722" s="2606">
        <f>'Part VI-Pro Forma'!I15</f>
        <v>754796.7574696712</v>
      </c>
      <c r="J722" s="2606">
        <f>'Part VI-Pro Forma'!J15</f>
        <v>769892.69261906471</v>
      </c>
      <c r="K722" s="2606">
        <f>'Part VI-Pro Forma'!K15</f>
        <v>785290.54647144594</v>
      </c>
    </row>
    <row r="723" spans="1:11">
      <c r="A723" s="357" t="s">
        <v>952</v>
      </c>
      <c r="B723" s="2606">
        <f>'Part VI-Pro Forma'!B16</f>
        <v>13141.92</v>
      </c>
      <c r="C723" s="2606">
        <f>'Part VI-Pro Forma'!C16</f>
        <v>13404.758400000001</v>
      </c>
      <c r="D723" s="2606">
        <f>'Part VI-Pro Forma'!D16</f>
        <v>13672.853568</v>
      </c>
      <c r="E723" s="2606">
        <f>'Part VI-Pro Forma'!E16</f>
        <v>13946.310639359999</v>
      </c>
      <c r="F723" s="2606">
        <f>'Part VI-Pro Forma'!F16</f>
        <v>14225.2368521472</v>
      </c>
      <c r="G723" s="2606">
        <f>'Part VI-Pro Forma'!G16</f>
        <v>14509.741589190144</v>
      </c>
      <c r="H723" s="2606">
        <f>'Part VI-Pro Forma'!H16</f>
        <v>14799.936420973949</v>
      </c>
      <c r="I723" s="2606">
        <f>'Part VI-Pro Forma'!I16</f>
        <v>15095.935149393423</v>
      </c>
      <c r="J723" s="2606">
        <f>'Part VI-Pro Forma'!J16</f>
        <v>15397.853852381293</v>
      </c>
      <c r="K723" s="2606">
        <f>'Part VI-Pro Forma'!K16</f>
        <v>15705.810929428919</v>
      </c>
    </row>
    <row r="724" spans="1:11">
      <c r="A724" s="357" t="s">
        <v>2216</v>
      </c>
      <c r="B724" s="2606">
        <f>'Part VI-Pro Forma'!B17</f>
        <v>-46916.654400000007</v>
      </c>
      <c r="C724" s="2606">
        <f>'Part VI-Pro Forma'!C17</f>
        <v>-47854.987488000013</v>
      </c>
      <c r="D724" s="2606">
        <f>'Part VI-Pro Forma'!D17</f>
        <v>-48812.087237760003</v>
      </c>
      <c r="E724" s="2606">
        <f>'Part VI-Pro Forma'!E17</f>
        <v>-49788.328982515202</v>
      </c>
      <c r="F724" s="2606">
        <f>'Part VI-Pro Forma'!F17</f>
        <v>-50784.095562165501</v>
      </c>
      <c r="G724" s="2606">
        <f>'Part VI-Pro Forma'!G17</f>
        <v>-51799.777473408816</v>
      </c>
      <c r="H724" s="2606">
        <f>'Part VI-Pro Forma'!H17</f>
        <v>-52835.773022876994</v>
      </c>
      <c r="I724" s="2606">
        <f>'Part VI-Pro Forma'!I17</f>
        <v>-53892.488483334528</v>
      </c>
      <c r="J724" s="2606">
        <f>'Part VI-Pro Forma'!J17</f>
        <v>-54970.338253001231</v>
      </c>
      <c r="K724" s="2606">
        <f>'Part VI-Pro Forma'!K17</f>
        <v>-56069.745018061243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3836</v>
      </c>
      <c r="B727" s="2606">
        <f>'Part VI-Pro Forma'!B20</f>
        <v>623321.26560000004</v>
      </c>
      <c r="C727" s="2606">
        <f>'Part VI-Pro Forma'!C20</f>
        <v>635787.69091200014</v>
      </c>
      <c r="D727" s="2606">
        <f>'Part VI-Pro Forma'!D20</f>
        <v>648503.44473024004</v>
      </c>
      <c r="E727" s="2606">
        <f>'Part VI-Pro Forma'!E20</f>
        <v>661473.51362484484</v>
      </c>
      <c r="F727" s="2606">
        <f>'Part VI-Pro Forma'!F20</f>
        <v>674702.98389734165</v>
      </c>
      <c r="G727" s="2606">
        <f>'Part VI-Pro Forma'!G20</f>
        <v>688197.0435752885</v>
      </c>
      <c r="H727" s="2606">
        <f>'Part VI-Pro Forma'!H20</f>
        <v>701960.98444679426</v>
      </c>
      <c r="I727" s="2606">
        <f>'Part VI-Pro Forma'!I20</f>
        <v>716000.20413573005</v>
      </c>
      <c r="J727" s="2606">
        <f>'Part VI-Pro Forma'!J20</f>
        <v>730320.20821844484</v>
      </c>
      <c r="K727" s="2606">
        <f>'Part VI-Pro Forma'!K20</f>
        <v>744926.61238281359</v>
      </c>
    </row>
    <row r="728" spans="1:11">
      <c r="A728" s="357" t="s">
        <v>572</v>
      </c>
      <c r="B728" s="2606">
        <f>'Part VI-Pro Forma'!B21</f>
        <v>-387200</v>
      </c>
      <c r="C728" s="2606">
        <f>'Part VI-Pro Forma'!C21</f>
        <v>-398816</v>
      </c>
      <c r="D728" s="2606">
        <f>'Part VI-Pro Forma'!D21</f>
        <v>-410780.48</v>
      </c>
      <c r="E728" s="2606">
        <f>'Part VI-Pro Forma'!E21</f>
        <v>-423103.89439999999</v>
      </c>
      <c r="F728" s="2606">
        <f>'Part VI-Pro Forma'!F21</f>
        <v>-435797.01123199996</v>
      </c>
      <c r="G728" s="2606">
        <f>'Part VI-Pro Forma'!G21</f>
        <v>-448870.92156895995</v>
      </c>
      <c r="H728" s="2606">
        <f>'Part VI-Pro Forma'!H21</f>
        <v>-462337.04921602877</v>
      </c>
      <c r="I728" s="2606">
        <f>'Part VI-Pro Forma'!I21</f>
        <v>-476207.16069250967</v>
      </c>
      <c r="J728" s="2606">
        <f>'Part VI-Pro Forma'!J21</f>
        <v>-490493.37551328487</v>
      </c>
      <c r="K728" s="2606">
        <f>'Part VI-Pro Forma'!K21</f>
        <v>-505208.17677868344</v>
      </c>
    </row>
    <row r="729" spans="1:11">
      <c r="A729" s="357" t="s">
        <v>1050</v>
      </c>
      <c r="B729" s="2606">
        <f>'Part VI-Pro Forma'!B22</f>
        <v>-31166</v>
      </c>
      <c r="C729" s="2606">
        <f>'Part VI-Pro Forma'!C22</f>
        <v>-31789</v>
      </c>
      <c r="D729" s="2606">
        <f>'Part VI-Pro Forma'!D22</f>
        <v>-32425</v>
      </c>
      <c r="E729" s="2606">
        <f>'Part VI-Pro Forma'!E22</f>
        <v>-33074</v>
      </c>
      <c r="F729" s="2606">
        <f>'Part VI-Pro Forma'!F22</f>
        <v>-33735</v>
      </c>
      <c r="G729" s="2606">
        <f>'Part VI-Pro Forma'!G22</f>
        <v>-34410</v>
      </c>
      <c r="H729" s="2606">
        <f>'Part VI-Pro Forma'!H22</f>
        <v>-35098</v>
      </c>
      <c r="I729" s="2606">
        <f>'Part VI-Pro Forma'!I22</f>
        <v>-35800</v>
      </c>
      <c r="J729" s="2606">
        <f>'Part VI-Pro Forma'!J22</f>
        <v>-36516</v>
      </c>
      <c r="K729" s="2606">
        <f>'Part VI-Pro Forma'!K22</f>
        <v>-37246</v>
      </c>
    </row>
    <row r="730" spans="1:11">
      <c r="A730" s="357" t="s">
        <v>1128</v>
      </c>
      <c r="B730" s="2606">
        <f>'Part VI-Pro Forma'!B23</f>
        <v>-31920</v>
      </c>
      <c r="C730" s="2606">
        <f>'Part VI-Pro Forma'!C23</f>
        <v>-32877.599999999999</v>
      </c>
      <c r="D730" s="2606">
        <f>'Part VI-Pro Forma'!D23</f>
        <v>-33863.928</v>
      </c>
      <c r="E730" s="2606">
        <f>'Part VI-Pro Forma'!E23</f>
        <v>-34879.845840000002</v>
      </c>
      <c r="F730" s="2606">
        <f>'Part VI-Pro Forma'!F23</f>
        <v>-35926.241215199996</v>
      </c>
      <c r="G730" s="2606">
        <f>'Part VI-Pro Forma'!G23</f>
        <v>-37004.028451655999</v>
      </c>
      <c r="H730" s="2606">
        <f>'Part VI-Pro Forma'!H23</f>
        <v>-38114.149305205676</v>
      </c>
      <c r="I730" s="2606">
        <f>'Part VI-Pro Forma'!I23</f>
        <v>-39257.573784361848</v>
      </c>
      <c r="J730" s="2606">
        <f>'Part VI-Pro Forma'!J23</f>
        <v>-40435.3009978927</v>
      </c>
      <c r="K730" s="2606">
        <f>'Part VI-Pro Forma'!K23</f>
        <v>-41648.360027829483</v>
      </c>
    </row>
    <row r="731" spans="1:11">
      <c r="A731" s="357" t="s">
        <v>3835</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173035.26560000004</v>
      </c>
      <c r="C732" s="2606">
        <f t="shared" ref="C732:J732" si="377">SUM(C727:C731)</f>
        <v>172305.09091200013</v>
      </c>
      <c r="D732" s="2606">
        <f t="shared" si="377"/>
        <v>171434.03673024004</v>
      </c>
      <c r="E732" s="2606">
        <f t="shared" si="377"/>
        <v>170415.77338484486</v>
      </c>
      <c r="F732" s="2606">
        <f t="shared" si="377"/>
        <v>169244.7314501417</v>
      </c>
      <c r="G732" s="2606">
        <f t="shared" si="377"/>
        <v>167912.09355467255</v>
      </c>
      <c r="H732" s="2606">
        <f t="shared" si="377"/>
        <v>166411.78592555982</v>
      </c>
      <c r="I732" s="2606">
        <f t="shared" si="377"/>
        <v>164735.46965885852</v>
      </c>
      <c r="J732" s="2606">
        <f t="shared" si="377"/>
        <v>162875.53170726728</v>
      </c>
      <c r="K732" s="2606">
        <f>SUM(K727:K731)</f>
        <v>160824.07557630067</v>
      </c>
    </row>
    <row r="733" spans="1:11">
      <c r="A733" s="357" t="s">
        <v>1486</v>
      </c>
      <c r="B733" s="2606">
        <f>'Part VI-Pro Forma'!B26</f>
        <v>0</v>
      </c>
      <c r="C733" s="2606">
        <f>'Part VI-Pro Forma'!C26</f>
        <v>0</v>
      </c>
      <c r="D733" s="2606">
        <f>'Part VI-Pro Forma'!D26</f>
        <v>0</v>
      </c>
      <c r="E733" s="2606">
        <f>'Part VI-Pro Forma'!E26</f>
        <v>0</v>
      </c>
      <c r="F733" s="2606">
        <f>'Part VI-Pro Forma'!F26</f>
        <v>0</v>
      </c>
      <c r="G733" s="2606">
        <f>'Part VI-Pro Forma'!G26</f>
        <v>0</v>
      </c>
      <c r="H733" s="2606">
        <f>'Part VI-Pro Forma'!H26</f>
        <v>0</v>
      </c>
      <c r="I733" s="2606">
        <f>'Part VI-Pro Forma'!I26</f>
        <v>0</v>
      </c>
      <c r="J733" s="2606">
        <f>'Part VI-Pro Forma'!J26</f>
        <v>0</v>
      </c>
      <c r="K733" s="2606">
        <f>'Part VI-Pro Forma'!K26</f>
        <v>0</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-9500</v>
      </c>
      <c r="C738" s="2606">
        <f>'Part VI-Pro Forma'!C31</f>
        <v>-9785</v>
      </c>
      <c r="D738" s="2606">
        <f>'Part VI-Pro Forma'!D31</f>
        <v>-10078.550000000001</v>
      </c>
      <c r="E738" s="2606">
        <f>'Part VI-Pro Forma'!E31</f>
        <v>-10380.906500000001</v>
      </c>
      <c r="F738" s="2606">
        <f>'Part VI-Pro Forma'!F31</f>
        <v>-10692.333695000001</v>
      </c>
      <c r="G738" s="2606">
        <f>'Part VI-Pro Forma'!G31</f>
        <v>-11013.103705850002</v>
      </c>
      <c r="H738" s="2606">
        <f>'Part VI-Pro Forma'!H31</f>
        <v>-11343.496817025503</v>
      </c>
      <c r="I738" s="2606">
        <f>'Part VI-Pro Forma'!I31</f>
        <v>-11683.801721536269</v>
      </c>
      <c r="J738" s="2606">
        <f>'Part VI-Pro Forma'!J31</f>
        <v>-12034.315773182358</v>
      </c>
      <c r="K738" s="2606">
        <f>'Part VI-Pro Forma'!K31</f>
        <v>-12395.345246377829</v>
      </c>
    </row>
    <row r="739" spans="1:11">
      <c r="A739" s="357" t="s">
        <v>3360</v>
      </c>
      <c r="B739" s="2606">
        <f>'Part VI-Pro Forma'!B32</f>
        <v>-92931</v>
      </c>
      <c r="C739" s="2606">
        <f>'Part VI-Pro Forma'!C32</f>
        <v>-92931</v>
      </c>
      <c r="D739" s="2606">
        <f>'Part VI-Pro Forma'!D32</f>
        <v>-92931</v>
      </c>
      <c r="E739" s="2606">
        <f>'Part VI-Pro Forma'!E32</f>
        <v>-92931</v>
      </c>
      <c r="F739" s="2606">
        <f>'Part VI-Pro Forma'!F32</f>
        <v>-92931</v>
      </c>
      <c r="G739" s="2606">
        <f>'Part VI-Pro Forma'!G32</f>
        <v>-92931</v>
      </c>
      <c r="H739" s="2606">
        <f>'Part VI-Pro Forma'!H32</f>
        <v>-92931</v>
      </c>
      <c r="I739" s="2606">
        <f>'Part VI-Pro Forma'!I32</f>
        <v>-92931</v>
      </c>
      <c r="J739" s="2606">
        <f>'Part VI-Pro Forma'!J32</f>
        <v>-92931</v>
      </c>
      <c r="K739" s="2606">
        <f>'Part VI-Pro Forma'!K32</f>
        <v>-92932</v>
      </c>
    </row>
    <row r="740" spans="1:11">
      <c r="A740" s="357" t="s">
        <v>1096</v>
      </c>
      <c r="B740" s="2606">
        <f t="shared" ref="B740:K740" si="378">SUM(B732:B739)</f>
        <v>70604.265600000042</v>
      </c>
      <c r="C740" s="2606">
        <f t="shared" si="378"/>
        <v>69589.090912000131</v>
      </c>
      <c r="D740" s="2606">
        <f t="shared" si="378"/>
        <v>68424.486730240053</v>
      </c>
      <c r="E740" s="2606">
        <f t="shared" si="378"/>
        <v>67103.866884844843</v>
      </c>
      <c r="F740" s="2606">
        <f t="shared" si="378"/>
        <v>65621.39775514169</v>
      </c>
      <c r="G740" s="2606">
        <f t="shared" si="378"/>
        <v>63967.989848822559</v>
      </c>
      <c r="H740" s="2606">
        <f t="shared" si="378"/>
        <v>62137.289108534314</v>
      </c>
      <c r="I740" s="2606">
        <f t="shared" si="378"/>
        <v>60120.667937322258</v>
      </c>
      <c r="J740" s="2606">
        <f t="shared" si="378"/>
        <v>57910.215934084932</v>
      </c>
      <c r="K740" s="2606">
        <f t="shared" si="378"/>
        <v>55496.730329922837</v>
      </c>
    </row>
    <row r="741" spans="1:11">
      <c r="A741" s="357" t="str">
        <f>IF('Part II-Sources of Funds'!$E$40 = "Neither", "", "DCR Mortgage A")</f>
        <v>DCR Mortgage A</v>
      </c>
      <c r="B741" s="2607" t="str">
        <f t="shared" ref="B741:K741" si="379">IF(B733=0,"",-B732/B733)</f>
        <v/>
      </c>
      <c r="C741" s="2607" t="str">
        <f t="shared" si="379"/>
        <v/>
      </c>
      <c r="D741" s="2607" t="str">
        <f t="shared" si="379"/>
        <v/>
      </c>
      <c r="E741" s="2607" t="str">
        <f t="shared" si="379"/>
        <v/>
      </c>
      <c r="F741" s="2607" t="str">
        <f t="shared" si="379"/>
        <v/>
      </c>
      <c r="G741" s="2607" t="str">
        <f t="shared" si="379"/>
        <v/>
      </c>
      <c r="H741" s="2607" t="str">
        <f t="shared" si="379"/>
        <v/>
      </c>
      <c r="I741" s="2607" t="str">
        <f t="shared" si="379"/>
        <v/>
      </c>
      <c r="J741" s="2607" t="str">
        <f t="shared" si="379"/>
        <v/>
      </c>
      <c r="K741" s="2607" t="str">
        <f t="shared" si="379"/>
        <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t="str">
        <f t="shared" ref="B745:K745" si="383">IF(AND(B733=0,B734=0,B735=0,B736=0),"",-B732/(B733+B734+B735+B736))</f>
        <v/>
      </c>
      <c r="C745" s="2607" t="str">
        <f t="shared" si="383"/>
        <v/>
      </c>
      <c r="D745" s="2607" t="str">
        <f t="shared" si="383"/>
        <v/>
      </c>
      <c r="E745" s="2607" t="str">
        <f t="shared" si="383"/>
        <v/>
      </c>
      <c r="F745" s="2607" t="str">
        <f t="shared" si="383"/>
        <v/>
      </c>
      <c r="G745" s="2607" t="str">
        <f t="shared" si="383"/>
        <v/>
      </c>
      <c r="H745" s="2607" t="str">
        <f t="shared" si="383"/>
        <v/>
      </c>
      <c r="I745" s="2607" t="str">
        <f t="shared" si="383"/>
        <v/>
      </c>
      <c r="J745" s="2607" t="str">
        <f t="shared" si="383"/>
        <v/>
      </c>
      <c r="K745" s="2607" t="str">
        <f t="shared" si="383"/>
        <v/>
      </c>
    </row>
    <row r="746" spans="1:11">
      <c r="A746" s="357" t="s">
        <v>718</v>
      </c>
      <c r="B746" s="2608">
        <f t="shared" ref="B746:K746" si="384">IF(OR(B729="Choose mgt fee",B729="Choose One!"),"",(B722+B723+B724+B725+B726) / -(B728+B729+B730))</f>
        <v>1.3842785820567374</v>
      </c>
      <c r="C746" s="2608">
        <f t="shared" si="384"/>
        <v>1.3717617250615237</v>
      </c>
      <c r="D746" s="2608">
        <f t="shared" si="384"/>
        <v>1.3593482077355084</v>
      </c>
      <c r="E746" s="2608">
        <f t="shared" si="384"/>
        <v>1.3470381574711676</v>
      </c>
      <c r="F746" s="2608">
        <f t="shared" si="384"/>
        <v>1.3348342432450857</v>
      </c>
      <c r="G746" s="2608">
        <f t="shared" si="384"/>
        <v>1.3227310218141408</v>
      </c>
      <c r="H746" s="2608">
        <f t="shared" si="384"/>
        <v>1.3107310894779756</v>
      </c>
      <c r="I746" s="2608">
        <f t="shared" si="384"/>
        <v>1.2988318667167889</v>
      </c>
      <c r="J746" s="2608">
        <f t="shared" si="384"/>
        <v>1.2870333240390508</v>
      </c>
      <c r="K746" s="2608">
        <f t="shared" si="384"/>
        <v>1.2753353485769476</v>
      </c>
    </row>
    <row r="747" spans="1:11">
      <c r="A747" s="357" t="s">
        <v>2405</v>
      </c>
      <c r="B747" s="2606" t="str">
        <f>'Part VI-Pro Forma'!B40</f>
        <v/>
      </c>
      <c r="C747" s="2606" t="str">
        <f>'Part VI-Pro Forma'!C40</f>
        <v/>
      </c>
      <c r="D747" s="2606" t="str">
        <f>'Part VI-Pro Forma'!D40</f>
        <v/>
      </c>
      <c r="E747" s="2606" t="str">
        <f>'Part VI-Pro Forma'!E40</f>
        <v/>
      </c>
      <c r="F747" s="2606" t="str">
        <f>'Part VI-Pro Forma'!F40</f>
        <v/>
      </c>
      <c r="G747" s="2606" t="str">
        <f>'Part VI-Pro Forma'!G40</f>
        <v/>
      </c>
      <c r="H747" s="2606" t="str">
        <f>'Part VI-Pro Forma'!H40</f>
        <v/>
      </c>
      <c r="I747" s="2606" t="str">
        <f>'Part VI-Pro Forma'!I40</f>
        <v/>
      </c>
      <c r="J747" s="2606" t="str">
        <f>'Part VI-Pro Forma'!J40</f>
        <v/>
      </c>
      <c r="K747" s="2606" t="str">
        <f>'Part VI-Pro Forma'!K40</f>
        <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3361</v>
      </c>
      <c r="B751" s="2606">
        <f>'Part VI-Pro Forma'!B44</f>
        <v>836380</v>
      </c>
      <c r="C751" s="2606">
        <f>'Part VI-Pro Forma'!C44</f>
        <v>743449</v>
      </c>
      <c r="D751" s="2606">
        <f>'Part VI-Pro Forma'!D44</f>
        <v>650518</v>
      </c>
      <c r="E751" s="2606">
        <f>'Part VI-Pro Forma'!E44</f>
        <v>557587</v>
      </c>
      <c r="F751" s="2606">
        <f>'Part VI-Pro Forma'!F44</f>
        <v>464656</v>
      </c>
      <c r="G751" s="2606">
        <f>'Part VI-Pro Forma'!G44</f>
        <v>371725</v>
      </c>
      <c r="H751" s="2606">
        <f>'Part VI-Pro Forma'!H44</f>
        <v>278794</v>
      </c>
      <c r="I751" s="2606">
        <f>'Part VI-Pro Forma'!I44</f>
        <v>185863</v>
      </c>
      <c r="J751" s="2606">
        <f>'Part VI-Pro Forma'!J44</f>
        <v>92932</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800996.35740087496</v>
      </c>
      <c r="C754" s="2606">
        <f>'Part VI-Pro Forma'!C47</f>
        <v>817016.28454889229</v>
      </c>
      <c r="D754" s="2606">
        <f>'Part VI-Pro Forma'!D47</f>
        <v>833356.61023987026</v>
      </c>
      <c r="E754" s="2606">
        <f>'Part VI-Pro Forma'!E47</f>
        <v>850023.74244466762</v>
      </c>
      <c r="F754" s="2606">
        <f>'Part VI-Pro Forma'!F47</f>
        <v>867024.21729356109</v>
      </c>
      <c r="G754" s="2606">
        <f>'Part VI-Pro Forma'!G47</f>
        <v>884364.70163943199</v>
      </c>
      <c r="H754" s="2606">
        <f>'Part VI-Pro Forma'!H47</f>
        <v>902051.99567222083</v>
      </c>
      <c r="I754" s="2606">
        <f>'Part VI-Pro Forma'!I47</f>
        <v>920093.03558566526</v>
      </c>
      <c r="J754" s="2606">
        <f>'Part VI-Pro Forma'!J47</f>
        <v>938494.89629737847</v>
      </c>
      <c r="K754" s="2606">
        <f>'Part VI-Pro Forma'!K47</f>
        <v>957264.79422332603</v>
      </c>
    </row>
    <row r="755" spans="1:11">
      <c r="A755" s="357" t="s">
        <v>952</v>
      </c>
      <c r="B755" s="2606">
        <f>'Part VI-Pro Forma'!B48</f>
        <v>16019.927148017498</v>
      </c>
      <c r="C755" s="2606">
        <f>'Part VI-Pro Forma'!C48</f>
        <v>16340.325690977845</v>
      </c>
      <c r="D755" s="2606">
        <f>'Part VI-Pro Forma'!D48</f>
        <v>16667.132204797406</v>
      </c>
      <c r="E755" s="2606">
        <f>'Part VI-Pro Forma'!E48</f>
        <v>17000.474848893351</v>
      </c>
      <c r="F755" s="2606">
        <f>'Part VI-Pro Forma'!F48</f>
        <v>17340.48434587122</v>
      </c>
      <c r="G755" s="2606">
        <f>'Part VI-Pro Forma'!G48</f>
        <v>17687.294032788639</v>
      </c>
      <c r="H755" s="2606">
        <f>'Part VI-Pro Forma'!H48</f>
        <v>18041.039913444416</v>
      </c>
      <c r="I755" s="2606">
        <f>'Part VI-Pro Forma'!I48</f>
        <v>18401.860711713307</v>
      </c>
      <c r="J755" s="2606">
        <f>'Part VI-Pro Forma'!J48</f>
        <v>18769.897925947571</v>
      </c>
      <c r="K755" s="2606">
        <f>'Part VI-Pro Forma'!K48</f>
        <v>19145.295884466519</v>
      </c>
    </row>
    <row r="756" spans="1:11">
      <c r="A756" s="357" t="s">
        <v>2216</v>
      </c>
      <c r="B756" s="2606">
        <f>'Part VI-Pro Forma'!B49</f>
        <v>-57191.139918422472</v>
      </c>
      <c r="C756" s="2606">
        <f>'Part VI-Pro Forma'!C49</f>
        <v>-58334.962716790913</v>
      </c>
      <c r="D756" s="2606">
        <f>'Part VI-Pro Forma'!D49</f>
        <v>-59501.661971126741</v>
      </c>
      <c r="E756" s="2606">
        <f>'Part VI-Pro Forma'!E49</f>
        <v>-60691.695210549275</v>
      </c>
      <c r="F756" s="2606">
        <f>'Part VI-Pro Forma'!F49</f>
        <v>-61905.529114760269</v>
      </c>
      <c r="G756" s="2606">
        <f>'Part VI-Pro Forma'!G49</f>
        <v>-63143.639697055449</v>
      </c>
      <c r="H756" s="2606">
        <f>'Part VI-Pro Forma'!H49</f>
        <v>-64406.512490996574</v>
      </c>
      <c r="I756" s="2606">
        <f>'Part VI-Pro Forma'!I49</f>
        <v>-65694.642740816504</v>
      </c>
      <c r="J756" s="2606">
        <f>'Part VI-Pro Forma'!J49</f>
        <v>-67008.535595632828</v>
      </c>
      <c r="K756" s="2606">
        <f>'Part VI-Pro Forma'!K49</f>
        <v>-68348.706307545479</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3836</v>
      </c>
      <c r="B759" s="2606">
        <f>'Part VI-Pro Forma'!B52</f>
        <v>759825.14463046996</v>
      </c>
      <c r="C759" s="2606">
        <f>'Part VI-Pro Forma'!C52</f>
        <v>775021.64752307918</v>
      </c>
      <c r="D759" s="2606">
        <f>'Part VI-Pro Forma'!D52</f>
        <v>790522.08047354082</v>
      </c>
      <c r="E759" s="2606">
        <f>'Part VI-Pro Forma'!E52</f>
        <v>806332.52208301169</v>
      </c>
      <c r="F759" s="2606">
        <f>'Part VI-Pro Forma'!F52</f>
        <v>822459.17252467212</v>
      </c>
      <c r="G759" s="2606">
        <f>'Part VI-Pro Forma'!G52</f>
        <v>838908.35597516515</v>
      </c>
      <c r="H759" s="2606">
        <f>'Part VI-Pro Forma'!H52</f>
        <v>855686.52309466864</v>
      </c>
      <c r="I759" s="2606">
        <f>'Part VI-Pro Forma'!I52</f>
        <v>872800.25355656212</v>
      </c>
      <c r="J759" s="2606">
        <f>'Part VI-Pro Forma'!J52</f>
        <v>890256.25862769317</v>
      </c>
      <c r="K759" s="2606">
        <f>'Part VI-Pro Forma'!K52</f>
        <v>908061.38380024699</v>
      </c>
    </row>
    <row r="760" spans="1:11">
      <c r="A760" s="357" t="s">
        <v>572</v>
      </c>
      <c r="B760" s="2606">
        <f>'Part VI-Pro Forma'!B53</f>
        <v>-520364.42208204395</v>
      </c>
      <c r="C760" s="2606">
        <f>'Part VI-Pro Forma'!C53</f>
        <v>-535975.35474450525</v>
      </c>
      <c r="D760" s="2606">
        <f>'Part VI-Pro Forma'!D53</f>
        <v>-552054.61538684042</v>
      </c>
      <c r="E760" s="2606">
        <f>'Part VI-Pro Forma'!E53</f>
        <v>-568616.2538484456</v>
      </c>
      <c r="F760" s="2606">
        <f>'Part VI-Pro Forma'!F53</f>
        <v>-585674.74146389903</v>
      </c>
      <c r="G760" s="2606">
        <f>'Part VI-Pro Forma'!G53</f>
        <v>-603244.98370781599</v>
      </c>
      <c r="H760" s="2606">
        <f>'Part VI-Pro Forma'!H53</f>
        <v>-621342.33321905031</v>
      </c>
      <c r="I760" s="2606">
        <f>'Part VI-Pro Forma'!I53</f>
        <v>-639982.6032156219</v>
      </c>
      <c r="J760" s="2606">
        <f>'Part VI-Pro Forma'!J53</f>
        <v>-659182.08131209051</v>
      </c>
      <c r="K760" s="2606">
        <f>'Part VI-Pro Forma'!K53</f>
        <v>-678957.54375145328</v>
      </c>
    </row>
    <row r="761" spans="1:11">
      <c r="A761" s="357" t="s">
        <v>1050</v>
      </c>
      <c r="B761" s="2606">
        <f>'Part VI-Pro Forma'!B54</f>
        <v>-37991</v>
      </c>
      <c r="C761" s="2606">
        <f>'Part VI-Pro Forma'!C54</f>
        <v>-38751</v>
      </c>
      <c r="D761" s="2606">
        <f>'Part VI-Pro Forma'!D54</f>
        <v>-39526</v>
      </c>
      <c r="E761" s="2606">
        <f>'Part VI-Pro Forma'!E54</f>
        <v>-40317</v>
      </c>
      <c r="F761" s="2606">
        <f>'Part VI-Pro Forma'!F54</f>
        <v>-41123</v>
      </c>
      <c r="G761" s="2606">
        <f>'Part VI-Pro Forma'!G54</f>
        <v>-41945</v>
      </c>
      <c r="H761" s="2606">
        <f>'Part VI-Pro Forma'!H54</f>
        <v>-42784</v>
      </c>
      <c r="I761" s="2606">
        <f>'Part VI-Pro Forma'!I54</f>
        <v>-43640</v>
      </c>
      <c r="J761" s="2606">
        <f>'Part VI-Pro Forma'!J54</f>
        <v>-44513</v>
      </c>
      <c r="K761" s="2606">
        <f>'Part VI-Pro Forma'!K54</f>
        <v>-45403</v>
      </c>
    </row>
    <row r="762" spans="1:11">
      <c r="A762" s="357" t="s">
        <v>1128</v>
      </c>
      <c r="B762" s="2606">
        <f>'Part VI-Pro Forma'!B55</f>
        <v>-42897.810828664369</v>
      </c>
      <c r="C762" s="2606">
        <f>'Part VI-Pro Forma'!C55</f>
        <v>-44184.745153524302</v>
      </c>
      <c r="D762" s="2606">
        <f>'Part VI-Pro Forma'!D55</f>
        <v>-45510.287508130023</v>
      </c>
      <c r="E762" s="2606">
        <f>'Part VI-Pro Forma'!E55</f>
        <v>-46875.596133373918</v>
      </c>
      <c r="F762" s="2606">
        <f>'Part VI-Pro Forma'!F55</f>
        <v>-48281.864017375141</v>
      </c>
      <c r="G762" s="2606">
        <f>'Part VI-Pro Forma'!G55</f>
        <v>-49730.319937896398</v>
      </c>
      <c r="H762" s="2606">
        <f>'Part VI-Pro Forma'!H55</f>
        <v>-51222.229536033286</v>
      </c>
      <c r="I762" s="2606">
        <f>'Part VI-Pro Forma'!I55</f>
        <v>-52758.896422114281</v>
      </c>
      <c r="J762" s="2606">
        <f>'Part VI-Pro Forma'!J55</f>
        <v>-54341.66331477771</v>
      </c>
      <c r="K762" s="2606">
        <f>'Part VI-Pro Forma'!K55</f>
        <v>-55971.913214221044</v>
      </c>
    </row>
    <row r="763" spans="1:11">
      <c r="A763" s="357" t="s">
        <v>3835</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158571.91171976164</v>
      </c>
      <c r="C764" s="2606">
        <f t="shared" si="386"/>
        <v>156110.54762504963</v>
      </c>
      <c r="D764" s="2606">
        <f t="shared" si="386"/>
        <v>153431.17757857038</v>
      </c>
      <c r="E764" s="2606">
        <f t="shared" si="386"/>
        <v>150523.67210119218</v>
      </c>
      <c r="F764" s="2606">
        <f t="shared" si="386"/>
        <v>147379.56704339795</v>
      </c>
      <c r="G764" s="2606">
        <f t="shared" si="386"/>
        <v>143988.05232945277</v>
      </c>
      <c r="H764" s="2606">
        <f t="shared" si="386"/>
        <v>140337.96033958503</v>
      </c>
      <c r="I764" s="2606">
        <f t="shared" si="386"/>
        <v>136418.75391882594</v>
      </c>
      <c r="J764" s="2606">
        <f t="shared" si="386"/>
        <v>132219.51400082494</v>
      </c>
      <c r="K764" s="2606">
        <f t="shared" si="386"/>
        <v>127728.92683457266</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-12767.205603769164</v>
      </c>
      <c r="C770" s="2606">
        <f>'Part VI-Pro Forma'!C63</f>
        <v>-13150.221771882239</v>
      </c>
      <c r="D770" s="2606">
        <f>'Part VI-Pro Forma'!D63</f>
        <v>-13544.728425038707</v>
      </c>
      <c r="E770" s="2606">
        <f>'Part VI-Pro Forma'!E63</f>
        <v>-13951.07027778987</v>
      </c>
      <c r="F770" s="2606">
        <f>'Part VI-Pro Forma'!F63</f>
        <v>-14369.602386123566</v>
      </c>
      <c r="G770" s="2606">
        <f>'Part VI-Pro Forma'!G63</f>
        <v>-14800.690457707273</v>
      </c>
      <c r="H770" s="2606">
        <f>'Part VI-Pro Forma'!H63</f>
        <v>-15244.711171438492</v>
      </c>
      <c r="I770" s="2606">
        <f>'Part VI-Pro Forma'!I63</f>
        <v>-15702.052506581647</v>
      </c>
      <c r="J770" s="2606">
        <f>'Part VI-Pro Forma'!J63</f>
        <v>0</v>
      </c>
      <c r="K770" s="2606">
        <f>'Part VI-Pro Forma'!K63</f>
        <v>0</v>
      </c>
    </row>
    <row r="771" spans="1:11">
      <c r="A771" s="357" t="s">
        <v>3360</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145804.70611599248</v>
      </c>
      <c r="C772" s="2606">
        <f t="shared" si="387"/>
        <v>142960.32585316739</v>
      </c>
      <c r="D772" s="2606">
        <f t="shared" si="387"/>
        <v>139886.44915353166</v>
      </c>
      <c r="E772" s="2606">
        <f t="shared" si="387"/>
        <v>136572.60182340231</v>
      </c>
      <c r="F772" s="2606">
        <f t="shared" si="387"/>
        <v>133009.96465727439</v>
      </c>
      <c r="G772" s="2606">
        <f t="shared" si="387"/>
        <v>129187.3618717455</v>
      </c>
      <c r="H772" s="2606">
        <f t="shared" si="387"/>
        <v>125093.24916814653</v>
      </c>
      <c r="I772" s="2606">
        <f t="shared" si="387"/>
        <v>120716.70141224429</v>
      </c>
      <c r="J772" s="2606">
        <f t="shared" si="387"/>
        <v>132219.51400082494</v>
      </c>
      <c r="K772" s="2606">
        <f t="shared" si="387"/>
        <v>127728.92683457266</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1.2637356492074132</v>
      </c>
      <c r="C778" s="2608">
        <f t="shared" si="393"/>
        <v>1.2522342023769972</v>
      </c>
      <c r="D778" s="2608">
        <f t="shared" si="393"/>
        <v>1.2408309032217726</v>
      </c>
      <c r="E778" s="2608">
        <f t="shared" si="393"/>
        <v>1.2295236975002168</v>
      </c>
      <c r="F778" s="2608">
        <f t="shared" si="393"/>
        <v>1.2183143526285747</v>
      </c>
      <c r="G778" s="2608">
        <f t="shared" si="393"/>
        <v>1.2072008136387125</v>
      </c>
      <c r="H778" s="2608">
        <f t="shared" si="393"/>
        <v>1.1961812291885923</v>
      </c>
      <c r="I778" s="2608">
        <f t="shared" si="393"/>
        <v>1.1852555421149733</v>
      </c>
      <c r="J778" s="2608">
        <f t="shared" si="393"/>
        <v>1.1744236212004577</v>
      </c>
      <c r="K778" s="2608">
        <f t="shared" si="393"/>
        <v>1.1636852673426492</v>
      </c>
    </row>
    <row r="779" spans="1:11">
      <c r="A779" s="357" t="s">
        <v>2405</v>
      </c>
      <c r="B779" s="2606" t="str">
        <f>'Part VI-Pro Forma'!B72</f>
        <v/>
      </c>
      <c r="C779" s="2606" t="str">
        <f>'Part VI-Pro Forma'!C72</f>
        <v/>
      </c>
      <c r="D779" s="2606" t="str">
        <f>'Part VI-Pro Forma'!D72</f>
        <v/>
      </c>
      <c r="E779" s="2606" t="str">
        <f>'Part VI-Pro Forma'!E72</f>
        <v/>
      </c>
      <c r="F779" s="2606" t="str">
        <f>'Part VI-Pro Forma'!F72</f>
        <v/>
      </c>
      <c r="G779" s="2606" t="str">
        <f>'Part VI-Pro Forma'!G72</f>
        <v/>
      </c>
      <c r="H779" s="2606" t="str">
        <f>'Part VI-Pro Forma'!H72</f>
        <v/>
      </c>
      <c r="I779" s="2606" t="str">
        <f>'Part VI-Pro Forma'!I72</f>
        <v/>
      </c>
      <c r="J779" s="2606" t="str">
        <f>'Part VI-Pro Forma'!J72</f>
        <v/>
      </c>
      <c r="K779" s="2606" t="str">
        <f>'Part VI-Pro Forma'!K72</f>
        <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3361</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976410.09010779264</v>
      </c>
      <c r="C786" s="2606">
        <f>'Part VI-Pro Forma'!C79</f>
        <v>995938.29190994846</v>
      </c>
      <c r="D786" s="2606">
        <f>'Part VI-Pro Forma'!D79</f>
        <v>1015857.0577481475</v>
      </c>
      <c r="E786" s="2606">
        <f>'Part VI-Pro Forma'!E79</f>
        <v>1036174.1989031102</v>
      </c>
      <c r="F786" s="2606">
        <f>'Part VI-Pro Forma'!F79</f>
        <v>1056897.6828811725</v>
      </c>
      <c r="G786" s="2606">
        <f>'Part VI-Pro Forma'!G79</f>
        <v>1078035.6365387959</v>
      </c>
      <c r="H786" s="2606">
        <f>'Part VI-Pro Forma'!H79</f>
        <v>1099596.3492695719</v>
      </c>
      <c r="I786" s="2606">
        <f>'Part VI-Pro Forma'!I79</f>
        <v>1121588.2762549631</v>
      </c>
      <c r="J786" s="2606">
        <f>'Part VI-Pro Forma'!J79</f>
        <v>1144020.0417800627</v>
      </c>
      <c r="K786" s="2606">
        <f>'Part VI-Pro Forma'!K79</f>
        <v>1166900.4426156639</v>
      </c>
    </row>
    <row r="787" spans="1:11">
      <c r="A787" s="357" t="s">
        <v>952</v>
      </c>
      <c r="B787" s="2606">
        <f>'Part VI-Pro Forma'!B80</f>
        <v>19528.201802155854</v>
      </c>
      <c r="C787" s="2606">
        <f>'Part VI-Pro Forma'!C80</f>
        <v>19918.765838198968</v>
      </c>
      <c r="D787" s="2606">
        <f>'Part VI-Pro Forma'!D80</f>
        <v>20317.141154962948</v>
      </c>
      <c r="E787" s="2606">
        <f>'Part VI-Pro Forma'!E80</f>
        <v>20723.483978062206</v>
      </c>
      <c r="F787" s="2606">
        <f>'Part VI-Pro Forma'!F80</f>
        <v>21137.95365762345</v>
      </c>
      <c r="G787" s="2606">
        <f>'Part VI-Pro Forma'!G80</f>
        <v>21560.712730775918</v>
      </c>
      <c r="H787" s="2606">
        <f>'Part VI-Pro Forma'!H80</f>
        <v>21991.926985391441</v>
      </c>
      <c r="I787" s="2606">
        <f>'Part VI-Pro Forma'!I80</f>
        <v>22431.765525099265</v>
      </c>
      <c r="J787" s="2606">
        <f>'Part VI-Pro Forma'!J80</f>
        <v>22880.400835601253</v>
      </c>
      <c r="K787" s="2606">
        <f>'Part VI-Pro Forma'!K80</f>
        <v>23338.008852313276</v>
      </c>
    </row>
    <row r="788" spans="1:11">
      <c r="A788" s="357" t="s">
        <v>2216</v>
      </c>
      <c r="B788" s="2606">
        <f>'Part VI-Pro Forma'!B81</f>
        <v>-69715.680433696398</v>
      </c>
      <c r="C788" s="2606">
        <f>'Part VI-Pro Forma'!C81</f>
        <v>-71109.994042370323</v>
      </c>
      <c r="D788" s="2606">
        <f>'Part VI-Pro Forma'!D81</f>
        <v>-72532.193923217739</v>
      </c>
      <c r="E788" s="2606">
        <f>'Part VI-Pro Forma'!E81</f>
        <v>-73982.837801682079</v>
      </c>
      <c r="F788" s="2606">
        <f>'Part VI-Pro Forma'!F81</f>
        <v>-75462.49455771572</v>
      </c>
      <c r="G788" s="2606">
        <f>'Part VI-Pro Forma'!G81</f>
        <v>-76971.744448870028</v>
      </c>
      <c r="H788" s="2606">
        <f>'Part VI-Pro Forma'!H81</f>
        <v>-78511.179337847439</v>
      </c>
      <c r="I788" s="2606">
        <f>'Part VI-Pro Forma'!I81</f>
        <v>-80081.402924604379</v>
      </c>
      <c r="J788" s="2606">
        <f>'Part VI-Pro Forma'!J81</f>
        <v>-81683.030983096483</v>
      </c>
      <c r="K788" s="2606">
        <f>'Part VI-Pro Forma'!K81</f>
        <v>-83316.691602758408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3836</v>
      </c>
      <c r="B791" s="2606">
        <f>'Part VI-Pro Forma'!B84</f>
        <v>926222.61147625209</v>
      </c>
      <c r="C791" s="2606">
        <f>'Part VI-Pro Forma'!C84</f>
        <v>944747.06370577705</v>
      </c>
      <c r="D791" s="2606">
        <f>'Part VI-Pro Forma'!D84</f>
        <v>963642.00497989275</v>
      </c>
      <c r="E791" s="2606">
        <f>'Part VI-Pro Forma'!E84</f>
        <v>982914.84507949045</v>
      </c>
      <c r="F791" s="2606">
        <f>'Part VI-Pro Forma'!F84</f>
        <v>1002573.1419810802</v>
      </c>
      <c r="G791" s="2606">
        <f>'Part VI-Pro Forma'!G84</f>
        <v>1022624.6048207016</v>
      </c>
      <c r="H791" s="2606">
        <f>'Part VI-Pro Forma'!H84</f>
        <v>1043077.096917116</v>
      </c>
      <c r="I791" s="2606">
        <f>'Part VI-Pro Forma'!I84</f>
        <v>1063938.638855458</v>
      </c>
      <c r="J791" s="2606">
        <f>'Part VI-Pro Forma'!J84</f>
        <v>1085217.4116325674</v>
      </c>
      <c r="K791" s="2606">
        <f>'Part VI-Pro Forma'!K84</f>
        <v>1106921.7598652188</v>
      </c>
    </row>
    <row r="792" spans="1:11">
      <c r="A792" s="357" t="s">
        <v>572</v>
      </c>
      <c r="B792" s="2606">
        <f>'Part VI-Pro Forma'!B85</f>
        <v>-699326.27006399678</v>
      </c>
      <c r="C792" s="2606">
        <f>'Part VI-Pro Forma'!C85</f>
        <v>-720306.05816591659</v>
      </c>
      <c r="D792" s="2606">
        <f>'Part VI-Pro Forma'!D85</f>
        <v>-741915.23991089419</v>
      </c>
      <c r="E792" s="2606">
        <f>'Part VI-Pro Forma'!E85</f>
        <v>-764172.69710822112</v>
      </c>
      <c r="F792" s="2606">
        <f>'Part VI-Pro Forma'!F85</f>
        <v>-787097.87802146759</v>
      </c>
      <c r="G792" s="2606">
        <f>'Part VI-Pro Forma'!G85</f>
        <v>-810710.81436211162</v>
      </c>
      <c r="H792" s="2606">
        <f>'Part VI-Pro Forma'!H85</f>
        <v>-835032.13879297511</v>
      </c>
      <c r="I792" s="2606">
        <f>'Part VI-Pro Forma'!I85</f>
        <v>-860083.10295676417</v>
      </c>
      <c r="J792" s="2606">
        <f>'Part VI-Pro Forma'!J85</f>
        <v>-885885.59604546719</v>
      </c>
      <c r="K792" s="2606">
        <f>'Part VI-Pro Forma'!K85</f>
        <v>-912462.1639268311</v>
      </c>
    </row>
    <row r="793" spans="1:11">
      <c r="A793" s="357" t="s">
        <v>1050</v>
      </c>
      <c r="B793" s="2606">
        <f>'Part VI-Pro Forma'!B86</f>
        <v>-46311</v>
      </c>
      <c r="C793" s="2606">
        <f>'Part VI-Pro Forma'!C86</f>
        <v>-47237</v>
      </c>
      <c r="D793" s="2606">
        <f>'Part VI-Pro Forma'!D86</f>
        <v>-48182</v>
      </c>
      <c r="E793" s="2606">
        <f>'Part VI-Pro Forma'!E86</f>
        <v>-49146</v>
      </c>
      <c r="F793" s="2606">
        <f>'Part VI-Pro Forma'!F86</f>
        <v>-50129</v>
      </c>
      <c r="G793" s="2606">
        <f>'Part VI-Pro Forma'!G86</f>
        <v>-51131</v>
      </c>
      <c r="H793" s="2606">
        <f>'Part VI-Pro Forma'!H86</f>
        <v>-52154</v>
      </c>
      <c r="I793" s="2606">
        <f>'Part VI-Pro Forma'!I86</f>
        <v>-53197</v>
      </c>
      <c r="J793" s="2606">
        <f>'Part VI-Pro Forma'!J86</f>
        <v>-54261</v>
      </c>
      <c r="K793" s="2606">
        <f>'Part VI-Pro Forma'!K86</f>
        <v>-55346</v>
      </c>
    </row>
    <row r="794" spans="1:11">
      <c r="A794" s="357" t="s">
        <v>1128</v>
      </c>
      <c r="B794" s="2606">
        <f>'Part VI-Pro Forma'!B87</f>
        <v>-57651.070610647672</v>
      </c>
      <c r="C794" s="2606">
        <f>'Part VI-Pro Forma'!C87</f>
        <v>-59380.602728967096</v>
      </c>
      <c r="D794" s="2606">
        <f>'Part VI-Pro Forma'!D87</f>
        <v>-61162.020810836111</v>
      </c>
      <c r="E794" s="2606">
        <f>'Part VI-Pro Forma'!E87</f>
        <v>-62996.881435161202</v>
      </c>
      <c r="F794" s="2606">
        <f>'Part VI-Pro Forma'!F87</f>
        <v>-64886.787878216026</v>
      </c>
      <c r="G794" s="2606">
        <f>'Part VI-Pro Forma'!G87</f>
        <v>-66833.391514562507</v>
      </c>
      <c r="H794" s="2606">
        <f>'Part VI-Pro Forma'!H87</f>
        <v>-68838.393259999386</v>
      </c>
      <c r="I794" s="2606">
        <f>'Part VI-Pro Forma'!I87</f>
        <v>-70903.545057799362</v>
      </c>
      <c r="J794" s="2606">
        <f>'Part VI-Pro Forma'!J87</f>
        <v>-73030.65140953334</v>
      </c>
      <c r="K794" s="2606">
        <f>'Part VI-Pro Forma'!K87</f>
        <v>-75221.570951819333</v>
      </c>
    </row>
    <row r="795" spans="1:11">
      <c r="A795" s="357" t="s">
        <v>3835</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122934.27080160764</v>
      </c>
      <c r="C796" s="2606">
        <f t="shared" si="395"/>
        <v>117823.40281089337</v>
      </c>
      <c r="D796" s="2606">
        <f t="shared" si="395"/>
        <v>112382.74425816245</v>
      </c>
      <c r="E796" s="2606">
        <f t="shared" si="395"/>
        <v>106599.26653610813</v>
      </c>
      <c r="F796" s="2606">
        <f t="shared" si="395"/>
        <v>100459.47608139655</v>
      </c>
      <c r="G796" s="2606">
        <f t="shared" si="395"/>
        <v>93949.398944027518</v>
      </c>
      <c r="H796" s="2606">
        <f t="shared" si="395"/>
        <v>87052.564864141474</v>
      </c>
      <c r="I796" s="2606">
        <f t="shared" si="395"/>
        <v>79754.990840894476</v>
      </c>
      <c r="J796" s="2606">
        <f t="shared" si="395"/>
        <v>72040.164177566883</v>
      </c>
      <c r="K796" s="2606">
        <f t="shared" si="395"/>
        <v>63892.024986568344</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122934.27080160764</v>
      </c>
      <c r="C803" s="2606">
        <f t="shared" si="396"/>
        <v>117823.40281089337</v>
      </c>
      <c r="D803" s="2606">
        <f t="shared" si="396"/>
        <v>112382.74425816245</v>
      </c>
      <c r="E803" s="2606">
        <f t="shared" si="396"/>
        <v>106599.26653610813</v>
      </c>
      <c r="F803" s="2606">
        <f t="shared" si="396"/>
        <v>100459.47608139655</v>
      </c>
      <c r="G803" s="2606">
        <f t="shared" si="396"/>
        <v>93949.398944027518</v>
      </c>
      <c r="H803" s="2606">
        <f t="shared" si="396"/>
        <v>87052.564864141474</v>
      </c>
      <c r="I803" s="2606">
        <f t="shared" si="396"/>
        <v>79754.990840894476</v>
      </c>
      <c r="J803" s="2606">
        <f t="shared" si="396"/>
        <v>72040.164177566883</v>
      </c>
      <c r="K803" s="2606">
        <f t="shared" si="396"/>
        <v>63892.024986568344</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1.1530387839295175</v>
      </c>
      <c r="C809" s="2608">
        <f t="shared" ref="C809:K809" si="402">IF(OR(C793="Choose mgt fee",C793="Choose One!"),"",(C786+C787+C788+C789+C790) / -(C792+C793+C794))</f>
        <v>1.1424840144051347</v>
      </c>
      <c r="D809" s="2608">
        <f t="shared" si="402"/>
        <v>1.1320194087085527</v>
      </c>
      <c r="E809" s="2608">
        <f t="shared" si="402"/>
        <v>1.1216448379398871</v>
      </c>
      <c r="F809" s="2608">
        <f t="shared" si="402"/>
        <v>1.111360108907349</v>
      </c>
      <c r="G809" s="2608">
        <f t="shared" si="402"/>
        <v>1.1011649695711847</v>
      </c>
      <c r="H809" s="2608">
        <f t="shared" si="402"/>
        <v>1.0910568316455271</v>
      </c>
      <c r="I809" s="2608">
        <f t="shared" si="402"/>
        <v>1.0810366957445268</v>
      </c>
      <c r="J809" s="2608">
        <f t="shared" si="402"/>
        <v>1.0711032194598966</v>
      </c>
      <c r="K809" s="2608">
        <f t="shared" si="402"/>
        <v>1.0612561874796425</v>
      </c>
    </row>
    <row r="810" spans="1:11">
      <c r="A810" s="357" t="s">
        <v>2405</v>
      </c>
      <c r="B810" s="2606" t="str">
        <f>'Part VI-Pro Forma'!B103</f>
        <v/>
      </c>
      <c r="C810" s="2606" t="str">
        <f>'Part VI-Pro Forma'!C103</f>
        <v/>
      </c>
      <c r="D810" s="2606" t="str">
        <f>'Part VI-Pro Forma'!D103</f>
        <v/>
      </c>
      <c r="E810" s="2606" t="str">
        <f>'Part VI-Pro Forma'!E103</f>
        <v/>
      </c>
      <c r="F810" s="2606" t="str">
        <f>'Part VI-Pro Forma'!F103</f>
        <v/>
      </c>
      <c r="G810" s="2606" t="str">
        <f>'Part VI-Pro Forma'!G103</f>
        <v/>
      </c>
      <c r="H810" s="2606" t="str">
        <f>'Part VI-Pro Forma'!H103</f>
        <v/>
      </c>
      <c r="I810" s="2606" t="str">
        <f>'Part VI-Pro Forma'!I103</f>
        <v/>
      </c>
      <c r="J810" s="2606" t="str">
        <f>'Part VI-Pro Forma'!J103</f>
        <v/>
      </c>
      <c r="K810" s="2606" t="str">
        <f>'Part VI-Pro Forma'!K103</f>
        <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1190238.4514679771</v>
      </c>
      <c r="C816" s="2606">
        <f>'Part VI-Pro Forma'!C109</f>
        <v>1214043.2204973365</v>
      </c>
      <c r="D816" s="2606">
        <f>'Part VI-Pro Forma'!D109</f>
        <v>1238324.0849072833</v>
      </c>
      <c r="E816" s="2606">
        <f>'Part VI-Pro Forma'!E109</f>
        <v>1263090.5666054292</v>
      </c>
      <c r="F816" s="2606">
        <f>'Part VI-Pro Forma'!F109</f>
        <v>1288352.3779375376</v>
      </c>
      <c r="G816" s="2606"/>
      <c r="H816" s="2606"/>
      <c r="I816" s="2606"/>
      <c r="J816" s="2606"/>
      <c r="K816" s="2606"/>
    </row>
    <row r="817" spans="1:11">
      <c r="A817" s="357" t="s">
        <v>952</v>
      </c>
      <c r="B817" s="2606">
        <f>'Part VI-Pro Forma'!B110</f>
        <v>23804.769029359544</v>
      </c>
      <c r="C817" s="2606">
        <f>'Part VI-Pro Forma'!C110</f>
        <v>24280.864409946727</v>
      </c>
      <c r="D817" s="2606">
        <f>'Part VI-Pro Forma'!D110</f>
        <v>24766.481698145668</v>
      </c>
      <c r="E817" s="2606">
        <f>'Part VI-Pro Forma'!E110</f>
        <v>25261.811332108584</v>
      </c>
      <c r="F817" s="2606">
        <f>'Part VI-Pro Forma'!F110</f>
        <v>25767.047558750754</v>
      </c>
      <c r="G817" s="2606"/>
      <c r="H817" s="2606"/>
      <c r="I817" s="2606"/>
      <c r="J817" s="2606"/>
      <c r="K817" s="2606"/>
    </row>
    <row r="818" spans="1:11">
      <c r="A818" s="357" t="s">
        <v>2216</v>
      </c>
      <c r="B818" s="2606">
        <f>'Part VI-Pro Forma'!B111</f>
        <v>-84983.025434813579</v>
      </c>
      <c r="C818" s="2606">
        <f>'Part VI-Pro Forma'!C111</f>
        <v>-86682.685943509845</v>
      </c>
      <c r="D818" s="2606">
        <f>'Part VI-Pro Forma'!D111</f>
        <v>-88416.339662380036</v>
      </c>
      <c r="E818" s="2606">
        <f>'Part VI-Pro Forma'!E111</f>
        <v>-90184.666455627652</v>
      </c>
      <c r="F818" s="2606">
        <f>'Part VI-Pro Forma'!F111</f>
        <v>-91988.359784740198</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3836</v>
      </c>
      <c r="B821" s="2606">
        <f>'Part VI-Pro Forma'!B114</f>
        <v>1129060.1950625232</v>
      </c>
      <c r="C821" s="2606">
        <f>'Part VI-Pro Forma'!C114</f>
        <v>1151641.3989637734</v>
      </c>
      <c r="D821" s="2606">
        <f>'Part VI-Pro Forma'!D114</f>
        <v>1174674.2269430489</v>
      </c>
      <c r="E821" s="2606">
        <f>'Part VI-Pro Forma'!E114</f>
        <v>1198167.7114819102</v>
      </c>
      <c r="F821" s="2606">
        <f>'Part VI-Pro Forma'!F114</f>
        <v>1222131.0657115481</v>
      </c>
      <c r="G821" s="2606"/>
      <c r="H821" s="2606"/>
      <c r="I821" s="2606"/>
      <c r="J821" s="2606"/>
      <c r="K821" s="2606"/>
    </row>
    <row r="822" spans="1:11">
      <c r="A822" s="357" t="s">
        <v>572</v>
      </c>
      <c r="B822" s="2606">
        <f>'Part VI-Pro Forma'!B115</f>
        <v>-939836.02884463605</v>
      </c>
      <c r="C822" s="2606">
        <f>'Part VI-Pro Forma'!C115</f>
        <v>-968031.10970997519</v>
      </c>
      <c r="D822" s="2606">
        <f>'Part VI-Pro Forma'!D115</f>
        <v>-997072.04300127435</v>
      </c>
      <c r="E822" s="2606">
        <f>'Part VI-Pro Forma'!E115</f>
        <v>-1026984.2042913126</v>
      </c>
      <c r="F822" s="2606">
        <f>'Part VI-Pro Forma'!F115</f>
        <v>-1057793.7304200518</v>
      </c>
      <c r="G822" s="2606"/>
      <c r="H822" s="2606"/>
      <c r="I822" s="2606"/>
      <c r="J822" s="2606"/>
      <c r="K822" s="2606"/>
    </row>
    <row r="823" spans="1:11">
      <c r="A823" s="357" t="s">
        <v>1050</v>
      </c>
      <c r="B823" s="2606">
        <f>'Part VI-Pro Forma'!B116</f>
        <v>-56453</v>
      </c>
      <c r="C823" s="2606">
        <f>'Part VI-Pro Forma'!C116</f>
        <v>-57582</v>
      </c>
      <c r="D823" s="2606">
        <f>'Part VI-Pro Forma'!D116</f>
        <v>-58734</v>
      </c>
      <c r="E823" s="2606">
        <f>'Part VI-Pro Forma'!E116</f>
        <v>-59908</v>
      </c>
      <c r="F823" s="2606">
        <f>'Part VI-Pro Forma'!F116</f>
        <v>-61107</v>
      </c>
      <c r="G823" s="2606"/>
      <c r="H823" s="2606"/>
      <c r="I823" s="2606"/>
      <c r="J823" s="2606"/>
      <c r="K823" s="2606"/>
    </row>
    <row r="824" spans="1:11">
      <c r="A824" s="357" t="s">
        <v>1128</v>
      </c>
      <c r="B824" s="2606">
        <f>'Part VI-Pro Forma'!B117</f>
        <v>-77478.218080373917</v>
      </c>
      <c r="C824" s="2606">
        <f>'Part VI-Pro Forma'!C117</f>
        <v>-79802.564622785154</v>
      </c>
      <c r="D824" s="2606">
        <f>'Part VI-Pro Forma'!D117</f>
        <v>-82196.641561468685</v>
      </c>
      <c r="E824" s="2606">
        <f>'Part VI-Pro Forma'!E117</f>
        <v>-84662.540808312755</v>
      </c>
      <c r="F824" s="2606">
        <f>'Part VI-Pro Forma'!F117</f>
        <v>-87202.417032562123</v>
      </c>
      <c r="G824" s="2606"/>
      <c r="H824" s="2606"/>
      <c r="I824" s="2606"/>
      <c r="J824" s="2606"/>
      <c r="K824" s="2606"/>
    </row>
    <row r="825" spans="1:11">
      <c r="A825" s="357" t="s">
        <v>3835</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55292.948137513275</v>
      </c>
      <c r="C826" s="2606">
        <f>SUM(C821:C825)</f>
        <v>46225.724631013043</v>
      </c>
      <c r="D826" s="2606">
        <f>SUM(D821:D825)</f>
        <v>36671.542380305851</v>
      </c>
      <c r="E826" s="2606">
        <f>SUM(E821:E825)</f>
        <v>26612.966382284838</v>
      </c>
      <c r="F826" s="2606">
        <f>SUM(F821:F825)</f>
        <v>16027.918258934122</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55292.948137513275</v>
      </c>
      <c r="C833" s="2606">
        <f>SUM(C826:C832)</f>
        <v>46225.724631013043</v>
      </c>
      <c r="D833" s="2606">
        <f>SUM(D826:D832)</f>
        <v>36671.542380305851</v>
      </c>
      <c r="E833" s="2606">
        <f>SUM(E826:E832)</f>
        <v>26612.966382284838</v>
      </c>
      <c r="F833" s="2606">
        <f>SUM(F826:F832)</f>
        <v>16027.918258934122</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1.0514943515886315</v>
      </c>
      <c r="C839" s="2608">
        <f>IF(OR(C823="Choose mgt fee",C823="Choose One!"),"",(C816+C817+C818+C819+C820) / -(C822+C823+C824))</f>
        <v>1.0418175042242959</v>
      </c>
      <c r="D839" s="2608">
        <f>IF(OR(D823="Choose mgt fee",D823="Choose One!"),"",(D816+D817+D818+D819+D820) / -(D822+D823+D824))</f>
        <v>1.0322244779188692</v>
      </c>
      <c r="E839" s="2608">
        <f>IF(OR(E823="Choose mgt fee",E823="Choose One!"),"",(E816+E817+E818+E819+E820) / -(E822+E823+E824))</f>
        <v>1.0227159392197434</v>
      </c>
      <c r="F839" s="2608">
        <f>IF(OR(F823="Choose mgt fee",F823="Choose One!"),"",(F816+F817+F818+F819+F820) / -(F822+F823+F824))</f>
        <v>1.013289011219966</v>
      </c>
      <c r="G839" s="2606"/>
      <c r="H839" s="2606"/>
      <c r="I839" s="2606"/>
      <c r="J839" s="2606"/>
      <c r="K839" s="2606"/>
    </row>
    <row r="840" spans="1:11">
      <c r="A840" s="357" t="s">
        <v>2405</v>
      </c>
      <c r="B840" s="2606" t="str">
        <f>'Part VI-Pro Forma'!B133</f>
        <v/>
      </c>
      <c r="C840" s="2606" t="str">
        <f>'Part VI-Pro Forma'!C133</f>
        <v/>
      </c>
      <c r="D840" s="2606" t="str">
        <f>'Part VI-Pro Forma'!D133</f>
        <v/>
      </c>
      <c r="E840" s="2606" t="str">
        <f>'Part VI-Pro Forma'!E133</f>
        <v/>
      </c>
      <c r="F840" s="2606" t="str">
        <f>'Part VI-Pro Forma'!F133</f>
        <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 Asset Management Fee was discontinued after year 18 as it is expected that the LP's will exit the Partnership at that time.</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Freedom's Path Augusta III,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6769</v>
      </c>
      <c r="Q854" s="2850" t="s">
        <v>6529</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6770</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6631</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6772</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has been modeled along DCA guidelines and meets all criteria.  Unique to this project is the VA Ground Lease which provides for a 75 year use of the property to provide housing on a priority basis to homeless, near homeless, disabled and low income Veterans.  The VA has granted this Development Team that Leasehold Option at no cost which enhances the Feasibility of the project.  The provision of PBV's from the Augusta Housing Authority will also allow the project to serve some of the most vulnerable and income challenged tenants in Augusta.  Historic tax credits allow for the comprehensive redevelopment of the property with credits per unit below the typical DCA project.</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342">
      <c r="A892" s="2860" t="str">
        <f>'Part VII-Threshold Criteria'!A41</f>
        <v>This is a Family project, established to serve a primary population of homeless, near homeless, disabled and low income individuals, with a preference for Veterans.</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Owner will have special programs (holiday events, Veteran-centric celebrations and memorials, special dinners, etc.) throughout the year for residents, will provide enrichment classes and programs around financing, legal matters, taxation, etc. and will have on-site "soft" medical services like blood pressure screening, healthy eating programs, education around healthy life-style practices to name a few.  In addition to the stipulated services required by DCA, the Owner will provide VA funded Case Management and will fund a part-time Services Coordinator to maximize service and program opportunities for the residents.</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4017</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Real Property Research Group</v>
      </c>
      <c r="J904" s="2862"/>
      <c r="K904" s="2862"/>
      <c r="L904" s="2862"/>
      <c r="M904" s="2862"/>
      <c r="N904" s="2862"/>
      <c r="O904" s="2862"/>
      <c r="P904" s="2862"/>
      <c r="Q904" s="2862"/>
    </row>
    <row r="905" spans="1:17" ht="15">
      <c r="A905" s="2871"/>
      <c r="B905" s="2106" t="s">
        <v>6775</v>
      </c>
      <c r="C905" s="2106"/>
      <c r="D905" s="2860"/>
      <c r="E905" s="2860"/>
      <c r="F905" s="2860"/>
      <c r="G905" s="2106"/>
      <c r="H905" s="2106"/>
      <c r="I905" s="2860">
        <f>'Part VII-Threshold Criteria'!I54</f>
        <v>94.4</v>
      </c>
      <c r="J905" s="2860"/>
      <c r="K905" s="2860"/>
      <c r="L905" s="2873"/>
      <c r="M905" s="2874"/>
      <c r="N905" s="2874"/>
      <c r="O905" s="2874"/>
      <c r="P905" s="2874"/>
      <c r="Q905" s="2109"/>
    </row>
    <row r="906" spans="1:17" ht="15">
      <c r="A906" s="2871"/>
      <c r="B906" s="2106" t="s">
        <v>6776</v>
      </c>
      <c r="C906" s="2106"/>
      <c r="D906" s="2860"/>
      <c r="E906" s="2860"/>
      <c r="F906" s="2860"/>
      <c r="G906" s="2106"/>
      <c r="H906" s="2873" t="s">
        <v>6777</v>
      </c>
      <c r="I906" s="2860">
        <f>'Part VII-Threshold Criteria'!I55</f>
        <v>0.9</v>
      </c>
      <c r="J906" s="2860"/>
      <c r="K906" s="2860"/>
      <c r="L906" s="2874"/>
      <c r="M906" s="2875" t="s">
        <v>6778</v>
      </c>
      <c r="N906" s="2860">
        <f>'Part VII-Threshold Criteria'!N55</f>
        <v>0.5</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384.75">
      <c r="A908" s="2860" t="str">
        <f>'Part VII-Threshold Criteria'!A57</f>
        <v>The market for these units is exceptionally strong, with a capture rate in the low single digits.  The product and location are exceptional for the desired market segment to be served.</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6779</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3946</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6780</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6781</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6772</v>
      </c>
      <c r="C918" s="2106"/>
      <c r="D918" s="2868"/>
      <c r="E918" s="2868"/>
      <c r="F918" s="2868"/>
      <c r="G918" s="2868"/>
      <c r="H918" s="2107"/>
      <c r="I918" s="2108"/>
      <c r="J918" s="2108"/>
      <c r="K918" s="2108"/>
      <c r="L918" s="2109"/>
      <c r="M918" s="2109"/>
      <c r="N918" s="2109"/>
      <c r="O918" s="2109"/>
      <c r="P918" s="2109"/>
      <c r="Q918" s="2109"/>
    </row>
    <row r="919" spans="1:17" ht="85.5">
      <c r="A919" s="2860" t="str">
        <f>'Part VII-Threshold Criteria'!A68</f>
        <v>This requirement is not applicable.</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6782</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6783</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6629</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5">
      <c r="A928" s="2871"/>
      <c r="B928" s="2106" t="s">
        <v>6784</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6785</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6786</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6787</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6788</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356.25">
      <c r="A934" s="2106"/>
      <c r="B934" s="2860" t="str">
        <f>'Part VII-Threshold Criteria'!B83</f>
        <v>The VA was notified of the possibility of an underground storage tank leak.  The VA, as the current property owner, has shared the Phase II report with the Georgia EPD for review.</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As a historic building in poor condition, the presence of lead based paint, asbestos containing materials and mold are in evidence, along with an underground, abandoned diesel storage tank.  The Developer has extensive experience with historic rehab and remediating environmental hazards on properties.  The rehab budget has been sized to cover the projected costs of the remediation activities and the environmental engineeer (Terracon) will provide a "closure report" at the completion of the remediation to document full remediation of the hazards.</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71.25">
      <c r="A943" s="2871"/>
      <c r="B943" s="2106" t="s">
        <v>636</v>
      </c>
      <c r="C943" s="2106"/>
      <c r="D943" s="2106"/>
      <c r="E943" s="2106"/>
      <c r="F943" s="2106"/>
      <c r="G943" s="2860" t="str">
        <f>'Part VII-Threshold Criteria'!G92</f>
        <v>Freedom's Path Augusta III,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This is a unique situation.  The VA selects a Development Team to move forward with generating the financing and protocol for redeveloping property on its campuses.  This Team was selected by the VA, which issues an Option to Lease, incorporated into a Site Control letter, which is generated for the explicit purpose of documenting that the project has site control through an Option to Lease with a Lease term in this case of 75 years.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384.75">
      <c r="A952" s="2860" t="str">
        <f>'Part VII-Threshold Criteria'!A101</f>
        <v>The Site is directly accessed through 1 Freedom Way, a public road entering the VA campus off of Wrightsboro Road. A site access sheet has been included in the CSDP file.</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The VA campus is a Federal Reservation, not under the jurisdiction of the local government.  Augusta provided a letter deferring zoning matters to the VA, which through its Site Control letter explicitly grants to the Development Team the right to redevelop the property as proposed.  A copy of the Site Control letter is included in the Zoning Tab evidencing the VA's approval of this project as planned.</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6790</v>
      </c>
      <c r="C965" s="2106"/>
      <c r="D965" s="2106"/>
      <c r="E965" s="2106"/>
      <c r="F965" s="2106"/>
      <c r="G965" s="2106"/>
      <c r="H965" s="2106" t="s">
        <v>6791</v>
      </c>
      <c r="I965" s="2106"/>
      <c r="J965" s="2859" t="str">
        <f>'Part VII-Threshold Criteria'!J114</f>
        <v>Not Applicable</v>
      </c>
      <c r="K965" s="2859"/>
      <c r="L965" s="2859"/>
      <c r="M965" s="2859"/>
      <c r="N965" s="2859"/>
      <c r="O965" s="2859"/>
      <c r="P965" s="2859"/>
      <c r="Q965" s="2859"/>
    </row>
    <row r="966" spans="1:17" ht="15">
      <c r="A966" s="2871"/>
      <c r="B966" s="2871"/>
      <c r="C966" s="2106"/>
      <c r="D966" s="2106"/>
      <c r="E966" s="2106"/>
      <c r="F966" s="2106"/>
      <c r="G966" s="2106"/>
      <c r="H966" s="2106" t="s">
        <v>6792</v>
      </c>
      <c r="I966" s="2106"/>
      <c r="J966" s="2859" t="str">
        <f>'Part VII-Threshold Criteria'!J115</f>
        <v>Georgia Power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327.75">
      <c r="A968" s="2860" t="str">
        <f>'Part VII-Threshold Criteria'!A117</f>
        <v>The projecct will be all Electric and Georgia Power is the primary electricity provider to the site.  Electricity service has been noted in the CSDP.</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6793</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6794</v>
      </c>
      <c r="C974" s="2106"/>
      <c r="D974" s="2106"/>
      <c r="E974" s="2106"/>
      <c r="F974" s="2106"/>
      <c r="G974" s="2106"/>
      <c r="H974" s="2106" t="s">
        <v>6795</v>
      </c>
      <c r="I974" s="2106"/>
      <c r="J974" s="2859" t="str">
        <f>'Part VII-Threshold Criteria'!J123</f>
        <v>City of Augusta</v>
      </c>
      <c r="K974" s="2859"/>
      <c r="L974" s="2859"/>
      <c r="M974" s="2859"/>
      <c r="N974" s="2859"/>
      <c r="O974" s="2859"/>
      <c r="P974" s="2859"/>
      <c r="Q974" s="2859"/>
    </row>
    <row r="975" spans="1:17" ht="15">
      <c r="A975" s="2860"/>
      <c r="B975" s="2871"/>
      <c r="C975" s="2106"/>
      <c r="D975" s="2106"/>
      <c r="E975" s="2106"/>
      <c r="F975" s="2106"/>
      <c r="G975" s="2106"/>
      <c r="H975" s="2106" t="s">
        <v>6796</v>
      </c>
      <c r="I975" s="2106"/>
      <c r="J975" s="2859" t="str">
        <f>'Part VII-Threshold Criteria'!J124</f>
        <v>City of Augusta</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The property is currently served by the City of Augusta with Water and Sewer, though due to the vacant nature of the buildings, service has been disconnected.  It will be reactivated after all lines are examined and replaced as needed and meters are replaced.</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6716</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3784</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Furnished Exercise /Fitness Center</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370.5">
      <c r="A996" s="2860" t="str">
        <f>'Part VII-Threshold Criteria'!A145</f>
        <v>The project will provide the required minimum of site amenities, and plans to exceed those requirements based on the final building plans and site development considerations.</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3949</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6802</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Historic Preservation</v>
      </c>
      <c r="I1003" s="2860"/>
      <c r="J1003" s="2860"/>
      <c r="K1003" s="2860"/>
      <c r="L1003" s="2860"/>
      <c r="M1003" s="2860"/>
      <c r="N1003" s="2860"/>
      <c r="O1003" s="2860"/>
      <c r="P1003" s="2860"/>
      <c r="Q1003" s="2860"/>
    </row>
    <row r="1004" spans="1:17" ht="42.75">
      <c r="A1004" s="2871"/>
      <c r="B1004" s="2106" t="s">
        <v>1806</v>
      </c>
      <c r="C1004" s="2106"/>
      <c r="D1004" s="2106"/>
      <c r="E1004" s="2106"/>
      <c r="F1004" s="2106"/>
      <c r="G1004" s="2106"/>
      <c r="H1004" s="2860" t="str">
        <f>'Part VII-Threshold Criteria'!H153</f>
        <v>Terracon, Greg Hall</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A DCA waiver was provided to allow for the designation of units with lower square footages to a higher category of unit type given the constraints demanded by the historic rehab nature of the project.  This waiver is included in the application tabs.  A General Contractor, the Architect, the historic consultant (Ryan) and the PNA consultant worked on the analysis and work scope/pricing for the project.</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The Site Plan has been generated based on DCA guidelines and within the parameters dictated by the VA site selection for the project.  The project is well located and the site affords the maximum benefits to residents for amenities and access to VA services.  All required documentation has been included in the CSDP folder</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3368</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6196</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6195</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6197</v>
      </c>
      <c r="C1023" s="2860"/>
      <c r="D1023" s="2860"/>
      <c r="E1023" s="2860"/>
      <c r="F1023" s="2860"/>
      <c r="G1023" s="2860"/>
      <c r="H1023" s="2860"/>
      <c r="I1023" s="2860"/>
      <c r="J1023" s="2860"/>
      <c r="K1023" s="2860"/>
      <c r="L1023" s="2860"/>
      <c r="M1023" s="2860"/>
      <c r="N1023" s="2610" t="s">
        <v>6198</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This project will qualify under the EarthCraft Sustainable Preservation guidelines which are explicitly applicable to historic preservation projects.  This category is not included in the DCA dropdown list, so we have selected Earth Craft House Multifamily as this is a multi-family project.  However, as a Historic Preservation project certain things are not possible to be done and retain the historic character of the building.  The Sustainable Preservation guidelines were developed explicitly to meet the possibilities and limitations of sustainable historic preservation.  This project will far exceed the point requirements for Sustainable Development under that program.</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3369</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6802</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6805</v>
      </c>
      <c r="M1033" s="2895"/>
      <c r="N1033" s="2108"/>
      <c r="O1033" s="2106"/>
      <c r="P1033" s="2109"/>
      <c r="Q1033" s="2109"/>
    </row>
    <row r="1034" spans="1:17" ht="15">
      <c r="A1034" s="2871" t="s">
        <v>1843</v>
      </c>
      <c r="B1034" s="2863" t="s">
        <v>3291</v>
      </c>
      <c r="C1034" s="2106"/>
      <c r="D1034" s="2896"/>
      <c r="E1034" s="2896"/>
      <c r="F1034" s="2896"/>
      <c r="G1034" s="2896"/>
      <c r="H1034" s="2896"/>
      <c r="I1034" s="2896"/>
      <c r="J1034" s="2896"/>
      <c r="K1034" s="2896"/>
      <c r="L1034" s="2106" t="s">
        <v>6806</v>
      </c>
      <c r="M1034" s="2108" t="s">
        <v>6807</v>
      </c>
      <c r="N1034" s="2896"/>
      <c r="O1034" s="2873"/>
      <c r="P1034" s="2873"/>
      <c r="Q1034" s="2873"/>
    </row>
    <row r="1035" spans="1:17" ht="15">
      <c r="A1035" s="2871"/>
      <c r="B1035" s="2106" t="s">
        <v>6808</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6809</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6810</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project will meet the requirements for Accessibility.  Terracon will be retained as the Accessibility Consulting firm to review all plans and provide the needed training, review and instruction during rehab to ensure full compliance with the requirements.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3367</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6802</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6910</v>
      </c>
      <c r="D1048" s="2862"/>
      <c r="E1048" s="2862"/>
      <c r="F1048" s="2862"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862"/>
      <c r="H1048" s="2862"/>
      <c r="I1048" s="2862"/>
      <c r="J1048" s="2862"/>
      <c r="K1048" s="2862"/>
      <c r="L1048" s="2862"/>
      <c r="M1048" s="2862"/>
      <c r="N1048" s="2862"/>
      <c r="O1048" s="2862"/>
      <c r="P1048" s="2862"/>
      <c r="Q1048" s="2862"/>
    </row>
    <row r="1049" spans="1:17" ht="14.25" customHeight="1">
      <c r="A1049" s="2106"/>
      <c r="B1049" s="2883" t="s">
        <v>1615</v>
      </c>
      <c r="C1049" s="2862" t="s">
        <v>6911</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6812</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As noted under Rehab Standards, the square footages of some units are lower than the unit type limits.  A waiver was granted to allow unit designations higher than the square foot minimums for Efficiency and One Bedroom units.  The historic buildings are brick, which will be maintained.  Roofing will either be the current slate roofing or 40 year architectural shingles, subject to SHPO and NPS criteria.</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3370</v>
      </c>
      <c r="B1059" s="2863" t="s">
        <v>6531</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6813</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6814</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6815</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6816</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6817</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6818</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Affordable Housing Solutions, Inc. is the Qualified, Experienced Developer/General Partner for the project.  It received this designation based on the Pre-application submission for this project.  Two additional members of the Development Team (Garrison for Veterans and Wellington Development Company) were submitted for capacity building purposes.  Garrison for Veterans is also submitted as the Minority Certified Small Business.  Terell Brown, the Owner of Garrison for Veterans, is also a combat disabled Veteran.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3371</v>
      </c>
      <c r="B1072" s="2859" t="s">
        <v>6537</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6819</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2.75">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3374</v>
      </c>
      <c r="B1084" s="2859" t="s">
        <v>3356</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3357</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3358</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6824</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6825</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6826</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6827</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3863</v>
      </c>
      <c r="C1091" s="2862" t="s">
        <v>6828</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6829</v>
      </c>
      <c r="C1092" s="2862" t="s">
        <v>6830</v>
      </c>
      <c r="D1092" s="2862"/>
      <c r="E1092" s="2862"/>
      <c r="F1092" s="2862"/>
      <c r="G1092" s="2862"/>
      <c r="H1092" s="2862"/>
      <c r="I1092" s="2862"/>
      <c r="J1092" s="2862"/>
      <c r="K1092" s="2862"/>
      <c r="L1092" s="2862"/>
      <c r="M1092" s="2862"/>
      <c r="N1092" s="2862"/>
      <c r="O1092" s="2862"/>
      <c r="P1092" s="2862"/>
      <c r="Q1092" s="2862"/>
    </row>
    <row r="1093" spans="1:17" ht="15">
      <c r="A1093" s="2106"/>
      <c r="B1093" s="2873" t="s">
        <v>6831</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2.75">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3375</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4029</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42.75">
      <c r="A1107" s="2860" t="str">
        <f>'Part VII-Threshold Criteria'!A256</f>
        <v>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3376</v>
      </c>
      <c r="B1112" s="2859" t="s">
        <v>3937</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6249</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3936</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4031</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6833</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42.75">
      <c r="A1119" s="2860" t="str">
        <f>'Part VII-Threshold Criteria'!A268</f>
        <v>Not Applicable</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3377</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6834</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3310</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6835</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3865</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3866</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3867</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3868</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3311</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3916</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3917</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6836</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The Applicant is pro-actively committed to ensuring that all people are afforded the opportunity to live in safe, dignified and quality housing.  Serving Disabled Veterans means that every effort will be made to ensure that the housing accommodates their needs.  Management will reach out to all "least likely to be served" populations on a periodic and regular basis to ensure there is an onging effort to market and attract all potential residents to the property.  In particular, military personnel are drawn from every demographic element of the U. S., and the commitment to serve them demands that no barriers be erected to keep them from being housed with the honor and dignity they deserve.</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3378</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By accessing the land and buildings through a no-cost lease from the VA and utiltizing to the maximum extent Federal and State historic credits, the project will be able to preserve and upgrade these two magnificent historic buildings while providing excellent housing, well located for its tenant population.  The project provides a larger than usual number of units for no additional commitment of credits than would be the case with smaller 9% developments.</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Freedom's Path Augusta III,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6840</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75</v>
      </c>
      <c r="P1157" s="2908">
        <f>P1555</f>
        <v>22</v>
      </c>
      <c r="Q1157" s="2198" t="s">
        <v>6841</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6133</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6134</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3390</v>
      </c>
      <c r="B1163" s="2397" t="s">
        <v>3391</v>
      </c>
      <c r="C1163" s="2199"/>
      <c r="D1163" s="2199"/>
      <c r="E1163" s="2397" t="s">
        <v>3398</v>
      </c>
      <c r="F1163" s="2397" t="s">
        <v>6494</v>
      </c>
      <c r="G1163" s="2397"/>
      <c r="H1163" s="2397"/>
      <c r="I1163" s="2397"/>
      <c r="J1163" s="2397"/>
      <c r="K1163" s="2397"/>
      <c r="L1163" s="2397"/>
      <c r="M1163" s="2397"/>
      <c r="N1163" s="2397"/>
      <c r="O1163" s="2912" t="s">
        <v>3808</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3392</v>
      </c>
      <c r="C1164" s="2406"/>
      <c r="D1164" s="2406"/>
      <c r="E1164" s="2914">
        <f>'Part VIII Scoring Criteria'!E13</f>
        <v>20</v>
      </c>
      <c r="F1164" s="2913" t="str">
        <f>'Part VIII Scoring Criteria'!F13</f>
        <v>The project is well located to access almost every category of Desirable Activities.  While ostensibly located in a Food Desert, the property is within less than a mile of a Food Lion grocery store.  For this project, the proximity to the VA Medical Center with hospital services, pharmacy, emergency services, dental services, primary care medical, and vocational and physical therapy opportunities is unsurpassed.  However, since it is possible that some residents will not be Veterans, we have included Desirable sites that are available to non-Veterans.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327.75">
      <c r="A1165" s="2913" t="s">
        <v>496</v>
      </c>
      <c r="B1165" s="2403" t="s">
        <v>4036</v>
      </c>
      <c r="C1165" s="2406"/>
      <c r="D1165" s="2406"/>
      <c r="E1165" s="2916">
        <f>'Part VIII Scoring Criteria'!E14</f>
        <v>3</v>
      </c>
      <c r="F1165" s="2913" t="str">
        <f>'Part VIII Scoring Criteria'!F14</f>
        <v>The Site is within a few hundred feet of a transit stop on Wrightsboro Road with a transit system schedule that meets the DCA criteria for regular, ongoing service.</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342">
      <c r="A1166" s="2913" t="s">
        <v>720</v>
      </c>
      <c r="B1166" s="2403" t="s">
        <v>3337</v>
      </c>
      <c r="C1166" s="2406"/>
      <c r="D1166" s="2406"/>
      <c r="E1166" s="2916">
        <f>'Part VIII Scoring Criteria'!E15</f>
        <v>1</v>
      </c>
      <c r="F1166" s="2913" t="str">
        <f>'Part VIII Scoring Criteria'!F15</f>
        <v>The only school that qualifies for points in this category is Monte Sano Elementary.  Documentation has been provided that it was a BTO school in 2018.</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3393</v>
      </c>
      <c r="C1167" s="2406"/>
      <c r="D1167" s="2406"/>
      <c r="E1167" s="2916">
        <f>'Part VIII Scoring Criteria'!E16</f>
        <v>7</v>
      </c>
      <c r="F1167" s="2913" t="str">
        <f>'Part VIII Scoring Criteria'!F16</f>
        <v xml:space="preserve">The project is included within the City of Augusta Veterans Redevelopment Plan for the Charlie Norwood VAMC campus area.  The passage of this Plan included significant community input, and substantial resources have been committed and expended to implement aspects of the Plan.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3" t="s">
        <v>401</v>
      </c>
      <c r="B1168" s="2403" t="s">
        <v>3394</v>
      </c>
      <c r="C1168" s="2406"/>
      <c r="D1168" s="2406"/>
      <c r="E1168" s="2914" t="str">
        <f>'Part VIII Scoring Criteria'!E17</f>
        <v>n/a</v>
      </c>
      <c r="F1168" s="2913" t="str">
        <f>'Part VIII Scoring Criteria'!F17</f>
        <v>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4037</v>
      </c>
      <c r="C1169" s="2406"/>
      <c r="D1169" s="2406"/>
      <c r="E1169" s="2914">
        <f>'Part VIII Scoring Criteria'!E18</f>
        <v>0</v>
      </c>
      <c r="F1169" s="2913" t="str">
        <f>'Part VIII Scoring Criteria'!F18</f>
        <v>Not Applicable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75">
      <c r="A1170" s="2913" t="s">
        <v>4039</v>
      </c>
      <c r="B1170" s="2403" t="s">
        <v>3261</v>
      </c>
      <c r="C1170" s="2406"/>
      <c r="D1170" s="2406"/>
      <c r="E1170" s="2914">
        <f>'Part VIII Scoring Criteria'!E19</f>
        <v>0</v>
      </c>
      <c r="F1170" s="2913" t="str">
        <f>'Part VIII Scoring Criteria'!F19</f>
        <v>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75">
      <c r="A1171" s="2913" t="s">
        <v>4051</v>
      </c>
      <c r="B1171" s="2403" t="s">
        <v>4040</v>
      </c>
      <c r="C1171" s="2406"/>
      <c r="D1171" s="2406"/>
      <c r="E1171" s="2914">
        <f>'Part VIII Scoring Criteria'!E20</f>
        <v>0</v>
      </c>
      <c r="F1171" s="2913" t="str">
        <f>'Part VIII Scoring Criteria'!F20</f>
        <v>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6241</v>
      </c>
      <c r="B1172" s="2403" t="s">
        <v>4041</v>
      </c>
      <c r="C1172" s="2406"/>
      <c r="D1172" s="2406"/>
      <c r="E1172" s="2914">
        <f>'Part VIII Scoring Criteria'!E21</f>
        <v>3</v>
      </c>
      <c r="F1172" s="2913" t="str">
        <f>'Part VIII Scoring Criteria'!F21</f>
        <v>While another project has been developed in the area (Freedom's Path Augusta I), no project has been done in the last six years within 1 mile of the project site, thereby affording this project 3 points.  Though not required, maps of this fact have been included in the Previous Projects tab in the application.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2.75">
      <c r="A1173" s="2913" t="s">
        <v>6635</v>
      </c>
      <c r="B1173" s="2403" t="s">
        <v>6547</v>
      </c>
      <c r="C1173" s="2406"/>
      <c r="D1173" s="2406"/>
      <c r="E1173" s="2914">
        <f>'Part VIII Scoring Criteria'!E22</f>
        <v>0</v>
      </c>
      <c r="F1173" s="2913" t="str">
        <f>'Part VIII Scoring Criteria'!F22</f>
        <v>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6637</v>
      </c>
      <c r="B1174" s="2403" t="s">
        <v>6636</v>
      </c>
      <c r="C1174" s="2406"/>
      <c r="D1174" s="2406"/>
      <c r="E1174" s="2914">
        <f>'Part VIII Scoring Criteria'!E23</f>
        <v>2</v>
      </c>
      <c r="F1174" s="2913" t="str">
        <f>'Part VIII Scoring Criteria'!F23</f>
        <v>Terell Brown is a certified minority (disadvantaged) business owner who will have a 20% interest in the project and has and will continue to participate in every aspect of the development and operation of the project.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3367</v>
      </c>
      <c r="B1175" s="2403" t="s">
        <v>6553</v>
      </c>
      <c r="C1175" s="2406"/>
      <c r="D1175" s="2406"/>
      <c r="E1175" s="2914">
        <f>'Part VIII Scoring Criteria'!E24</f>
        <v>2</v>
      </c>
      <c r="F1175" s="2913" t="str">
        <f>'Part VIII Scoring Criteria'!F24</f>
        <v>The Owner commits to utilizing a CORES certified 3rd Party Contractor should one become available.  It should be noted that Solutions for Veterans is designated as the Lead Service Coordinator through the VA and has met the Quality Standards for Supportive Housing issued by the Corporation for Supportive Housing.</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3" t="s">
        <v>3371</v>
      </c>
      <c r="B1176" s="2403" t="s">
        <v>3395</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3374</v>
      </c>
      <c r="B1177" s="2403" t="s">
        <v>3396</v>
      </c>
      <c r="C1177" s="2406"/>
      <c r="D1177" s="2406"/>
      <c r="E1177" s="2914">
        <f>'Part VIII Scoring Criteria'!E26</f>
        <v>4</v>
      </c>
      <c r="F1177" s="2913" t="str">
        <f>'Part VIII Scoring Criteria'!F26</f>
        <v>Within the body of the Site Control Letter is reference to the Lease tenure (75 years), the no-cost aspect of the Lease and the willingness of the VA to enter into the LURC restricting the Leasehold interest of the VA.  The project has commitments for federal and state historic tax credits accompanied by Part 2 and Part A certifications.</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285">
      <c r="A1178" s="2913" t="s">
        <v>3375</v>
      </c>
      <c r="B1178" s="2403" t="s">
        <v>3397</v>
      </c>
      <c r="C1178" s="2406"/>
      <c r="D1178" s="2406"/>
      <c r="E1178" s="2914">
        <f>'Part VIII Scoring Criteria'!E27</f>
        <v>2</v>
      </c>
      <c r="F1178" s="2913" t="str">
        <f>'Part VIII Scoring Criteria'!F27</f>
        <v>The project has received its Part 1, Part 2 and Part A certifications as well as commitment letters for Historic Tax Credit proceeds.</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3377</v>
      </c>
      <c r="B1179" s="2403" t="s">
        <v>6634</v>
      </c>
      <c r="C1179" s="2406"/>
      <c r="D1179" s="2406"/>
      <c r="E1179" s="2914">
        <f>'Part VIII Scoring Criteria'!E28</f>
        <v>3</v>
      </c>
      <c r="F1179" s="2913" t="str">
        <f>'Part VIII Scoring Criteria'!F28</f>
        <v>The Project is designated Family, has ample 1 bedroom units that are not tied to PBV's to serve an 811 eligible population and the Owner is willing to accept any referrals through that program.</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3378</v>
      </c>
      <c r="B1180" s="2403" t="s">
        <v>6130</v>
      </c>
      <c r="C1180" s="2406"/>
      <c r="D1180" s="2406"/>
      <c r="E1180" s="2914">
        <f>'Part VIII Scoring Criteria'!E29</f>
        <v>0</v>
      </c>
      <c r="F1180" s="2913" t="str">
        <f>'Part VIII Scoring Criteria'!F29</f>
        <v>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2.75">
      <c r="A1181" s="2913" t="s">
        <v>3801</v>
      </c>
      <c r="B1181" s="2403" t="s">
        <v>6551</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6554</v>
      </c>
      <c r="B1182" s="2403" t="s">
        <v>6552</v>
      </c>
      <c r="C1182" s="2406"/>
      <c r="D1182" s="2406"/>
      <c r="E1182" s="2914">
        <f>'Part VIII Scoring Criteria'!E31</f>
        <v>0</v>
      </c>
      <c r="F1182" s="2913" t="str">
        <f>'Part VIII Scoring Criteria'!F31</f>
        <v>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6915</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6945</v>
      </c>
      <c r="B1185" s="3917"/>
      <c r="C1185" s="3917"/>
      <c r="D1185" s="3917"/>
      <c r="E1185" s="2397"/>
      <c r="F1185" s="2463" t="s">
        <v>6879</v>
      </c>
      <c r="G1185" s="2463"/>
      <c r="H1185" s="2463"/>
      <c r="I1185" s="2463"/>
      <c r="J1185" s="2198" t="s">
        <v>6138</v>
      </c>
      <c r="K1185" s="2198"/>
      <c r="L1185" s="2198"/>
      <c r="M1185" s="2198"/>
      <c r="N1185" s="2342"/>
      <c r="O1185" s="2199" t="s">
        <v>6880</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6905</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3803</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3806</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6871</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3805</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3</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3816</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6875</v>
      </c>
      <c r="C1219" s="2438"/>
      <c r="D1219" s="2438"/>
      <c r="E1219" s="2438"/>
      <c r="F1219" s="2438"/>
      <c r="G1219" s="2397" t="s">
        <v>6644</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3811</v>
      </c>
      <c r="D1220" s="2199"/>
      <c r="E1220" s="2199"/>
      <c r="F1220" s="2199"/>
      <c r="G1220" s="2199" t="s">
        <v>3812</v>
      </c>
      <c r="H1220" s="2199"/>
      <c r="I1220" s="2199"/>
      <c r="J1220" s="2932">
        <f>'Part V-Revenues &amp; Expenses'!$B$50</f>
        <v>57.678571428571431</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3813</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6878</v>
      </c>
      <c r="C1223" s="2397"/>
      <c r="D1223" s="2397"/>
      <c r="E1223" s="2397"/>
      <c r="F1223" s="2397"/>
      <c r="G1223" s="2398" t="s">
        <v>6844</v>
      </c>
      <c r="H1223" s="2397"/>
      <c r="I1223" s="2199"/>
      <c r="J1223" s="2922">
        <f>IF(OR('Part V-Revenues &amp; Expenses'!$P$65="", 'Part V-Revenues &amp; Expenses'!$P$65=0),0,'Part V-Revenues &amp; Expenses'!$P$100/'Part V-Revenues &amp; Expenses'!$P$65)</f>
        <v>0.32894736842105265</v>
      </c>
      <c r="K1223" s="2397"/>
      <c r="L1223" s="2397"/>
      <c r="M1223" s="2500">
        <v>3</v>
      </c>
      <c r="N1223" s="2935"/>
      <c r="O1223" s="2396">
        <f>'Part VIII Scoring Criteria'!O72</f>
        <v>3</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3366</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project is well located to access almost every category of Desirable Activities.  While ostensibly located in a Food Desert, the property is within less than a mile of a Food Lion grocery store.  For this project, the proximity to the VA Medical Center with hospital services, pharmacy, emergency services, dental services, primary care medical, and vocational and physical therapy opportunities is unsurpassed.  However, since it is possible that some residents will not be Veterans, we have included Desirable sites that are available to non-Veterans.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6262</v>
      </c>
      <c r="T1237" s="2939" t="s">
        <v>6143</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3325</v>
      </c>
      <c r="C1239" s="2397"/>
      <c r="D1239" s="2397"/>
      <c r="E1239" s="2397"/>
      <c r="F1239" s="2199" t="s">
        <v>3215</v>
      </c>
      <c r="G1239" s="2199"/>
      <c r="H1239" s="2199"/>
      <c r="I1239" s="2199"/>
      <c r="J1239" s="2199" t="s">
        <v>3216</v>
      </c>
      <c r="K1239" s="2199"/>
      <c r="L1239" s="2199"/>
      <c r="M1239" s="2199"/>
      <c r="N1239" s="2468"/>
      <c r="O1239" s="2941" t="s">
        <v>6845</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6846</v>
      </c>
      <c r="D1240" s="2397"/>
      <c r="E1240" s="2397"/>
      <c r="F1240" s="2199">
        <f>'Part VIII Scoring Criteria'!F89</f>
        <v>33.467469999999999</v>
      </c>
      <c r="G1240" s="2199"/>
      <c r="H1240" s="2199"/>
      <c r="I1240" s="2199"/>
      <c r="J1240" s="2199">
        <f>'Part VIII Scoring Criteria'!J89</f>
        <v>-82.025873000000004</v>
      </c>
      <c r="K1240" s="2199"/>
      <c r="L1240" s="2199"/>
      <c r="M1240" s="2199"/>
      <c r="N1240" s="2397"/>
      <c r="O1240" s="2941"/>
      <c r="P1240" s="2941"/>
      <c r="Q1240" s="2397"/>
      <c r="R1240" s="2943" t="s">
        <v>6669</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6847</v>
      </c>
      <c r="D1241" s="2397"/>
      <c r="E1241" s="2397"/>
      <c r="F1241" s="2199">
        <f>'Part VIII Scoring Criteria'!F90</f>
        <v>33.468510000000002</v>
      </c>
      <c r="G1241" s="2199"/>
      <c r="H1241" s="2199"/>
      <c r="I1241" s="2199"/>
      <c r="J1241" s="2199">
        <f>'Part VIII Scoring Criteria'!J90</f>
        <v>-82.025580000000005</v>
      </c>
      <c r="K1241" s="2199"/>
      <c r="L1241" s="2199"/>
      <c r="M1241" s="2199"/>
      <c r="N1241" s="2468"/>
      <c r="O1241" s="2944">
        <f>'Part VIII Scoring Criteria'!O90</f>
        <v>0.1</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6884</v>
      </c>
      <c r="C1242" s="2397"/>
      <c r="D1242" s="2397"/>
      <c r="E1242" s="2397"/>
      <c r="F1242" s="2342" t="s">
        <v>6848</v>
      </c>
      <c r="G1242" s="2199" t="s">
        <v>1672</v>
      </c>
      <c r="H1242" s="2199"/>
      <c r="I1242" s="2199"/>
      <c r="J1242" s="2199" t="s">
        <v>6881</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Augusta Transit</v>
      </c>
      <c r="C1243" s="2199"/>
      <c r="D1243" s="2199"/>
      <c r="E1243" s="2199"/>
      <c r="F1243" s="2947">
        <f>'Part VIII Scoring Criteria'!F92</f>
        <v>7068211719</v>
      </c>
      <c r="G1243" s="2199" t="str">
        <f>'Part VIII Scoring Criteria'!G92</f>
        <v>transit@augustaga.gov</v>
      </c>
      <c r="H1243" s="2199"/>
      <c r="I1243" s="2199"/>
      <c r="J1243" s="2199" t="str">
        <f>'Part VIII Scoring Criteria'!J92</f>
        <v>www.augustaga.gov/2770/transit</v>
      </c>
      <c r="K1243" s="2199"/>
      <c r="L1243" s="2199"/>
      <c r="M1243" s="2199"/>
      <c r="N1243" s="2199"/>
      <c r="O1243" s="2199"/>
      <c r="P1243" s="2199"/>
      <c r="Q1243" s="2397"/>
      <c r="R1243" s="2943" t="s">
        <v>6670</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327.75">
      <c r="A1253" s="2406" t="str">
        <f>'Part VIII Scoring Criteria'!A102</f>
        <v>The Site is within a few hundred feet of a transit stop on Wrightsboro Road with a transit system schedule that meets the DCA criteria for regular, ongoing service.</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6147</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6886</v>
      </c>
      <c r="K1258" s="2963"/>
      <c r="L1258" s="2962" t="s">
        <v>6887</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6628</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Monte Sano Elementary</v>
      </c>
      <c r="C1261" s="2438"/>
      <c r="D1261" s="2438"/>
      <c r="E1261" s="2438"/>
      <c r="F1261" s="2438" t="str">
        <f>'Part VIII Scoring Criteria'!F110</f>
        <v>N/a</v>
      </c>
      <c r="G1261" s="2438"/>
      <c r="H1261" s="2438" t="str">
        <f>'Part VIII Scoring Criteria'!H110</f>
        <v>Yes</v>
      </c>
      <c r="I1261" s="2438"/>
      <c r="J1261" s="2438" t="str">
        <f>'Part VIII Scoring Criteria'!J110</f>
        <v>N/a</v>
      </c>
      <c r="K1261" s="2438"/>
      <c r="L1261" s="2199" t="str">
        <f>'Part VIII Scoring Criteria'!L110</f>
        <v>N/a</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342">
      <c r="A1268" s="2406" t="str">
        <f>'Part VIII Scoring Criteria'!A117</f>
        <v>The only school that qualifies for points in this category is Monte Sano Elementary.  Documentation has been provided that it was a BTO school in 2018.</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3338</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6175</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6885</v>
      </c>
      <c r="D1276" s="2403"/>
      <c r="E1276" s="2403"/>
      <c r="F1276" s="2403"/>
      <c r="G1276" s="2403"/>
      <c r="H1276" s="2403"/>
      <c r="I1276" s="2403"/>
      <c r="J1276" s="2403"/>
      <c r="K1276" s="2403"/>
      <c r="L1276" s="2935"/>
      <c r="M1276" s="2438" t="str">
        <f>'Part VIII Scoring Criteria'!M125</f>
        <v>Pages 5-6</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6851</v>
      </c>
      <c r="D1277" s="2199"/>
      <c r="E1277" s="2199"/>
      <c r="F1277" s="2199"/>
      <c r="G1277" s="2199"/>
      <c r="H1277" s="2199"/>
      <c r="I1277" s="2199"/>
      <c r="J1277" s="2199"/>
      <c r="K1277" s="2199"/>
      <c r="L1277" s="2468"/>
      <c r="M1277" s="2438" t="str">
        <f>'Part VIII Scoring Criteria'!M126</f>
        <v>Pages 9-10</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6852</v>
      </c>
      <c r="D1278" s="2199"/>
      <c r="E1278" s="2199"/>
      <c r="F1278" s="2199"/>
      <c r="G1278" s="2199"/>
      <c r="H1278" s="2199"/>
      <c r="I1278" s="2199"/>
      <c r="J1278" s="2199"/>
      <c r="K1278" s="2199"/>
      <c r="L1278" s="2468"/>
      <c r="M1278" s="2438" t="str">
        <f>'Part VIII Scoring Criteria'!M127</f>
        <v>Pages 10-16</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6853</v>
      </c>
      <c r="D1279" s="2199"/>
      <c r="E1279" s="2199"/>
      <c r="F1279" s="2199"/>
      <c r="G1279" s="2199"/>
      <c r="H1279" s="2199"/>
      <c r="I1279" s="2199"/>
      <c r="J1279" s="2199"/>
      <c r="K1279" s="2199"/>
      <c r="L1279" s="2468"/>
      <c r="M1279" s="2438" t="str">
        <f>'Part VIII Scoring Criteria'!M128</f>
        <v>Pages 22-26</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6890</v>
      </c>
      <c r="D1280" s="2199"/>
      <c r="E1280" s="2199"/>
      <c r="F1280" s="2199"/>
      <c r="G1280" s="2199"/>
      <c r="H1280" s="2199"/>
      <c r="I1280" s="2199"/>
      <c r="J1280" s="2199"/>
      <c r="K1280" s="2199"/>
      <c r="L1280" s="2468"/>
      <c r="M1280" s="2438" t="str">
        <f>'Part VIII Scoring Criteria'!M129</f>
        <v>See Letter in Tab 29</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6889</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6250</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3820</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 xml:space="preserve">The project is included within the City of Augusta Veterans Redevelopment Plan for the Charlie Norwood VAMC campus area.  The passage of this Plan included significant community input, and substantial resources have been committed and expended to implement aspects of the Plan.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3339</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6251</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3672</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6897</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2.75">
      <c r="A1298" s="2406" t="str">
        <f>'Part VIII Scoring Criteria'!A147</f>
        <v>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3821</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6253</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6891</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6212</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6218</v>
      </c>
      <c r="D1309" s="2397"/>
      <c r="E1309" s="2977" t="s">
        <v>6217</v>
      </c>
      <c r="F1309" s="2977"/>
      <c r="G1309" s="2977"/>
      <c r="H1309" s="2977"/>
      <c r="I1309" s="2342" t="s">
        <v>6892</v>
      </c>
      <c r="J1309" s="2977" t="s">
        <v>6217</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6216</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6213</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6214</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2.75">
      <c r="A1316" s="2406" t="str">
        <f>'Part VIII Scoring Criteria'!A165</f>
        <v>Not Applicable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4033</v>
      </c>
      <c r="C1322" s="2397"/>
      <c r="D1322" s="2397"/>
      <c r="E1322" s="2397"/>
      <c r="F1322" s="2397"/>
      <c r="G1322" s="2312" t="s">
        <v>3152</v>
      </c>
      <c r="H1322" s="2922">
        <f>IF('Part V-Revenues &amp; Expenses'!$P$67=0,0,'Part V-Revenues &amp; Expenses'!$P$64/'Part V-Revenues &amp; Expenses'!$P$67)</f>
        <v>0.26315789473684209</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3956</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3811</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3340</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2.75">
      <c r="A1335" s="2406" t="str">
        <f>'Part VIII Scoring Criteria'!A184</f>
        <v>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4035</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6255</v>
      </c>
      <c r="C1341" s="2403"/>
      <c r="D1341" s="2403"/>
      <c r="E1341" s="2403"/>
      <c r="F1341" s="2403"/>
      <c r="G1341" s="2342" t="s">
        <v>6856</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6256</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6257</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2.75">
      <c r="A1346" s="2406" t="str">
        <f>'Part VIII Scoring Criteria'!A195</f>
        <v>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3959</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6265</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6266</v>
      </c>
      <c r="C1354" s="2397"/>
      <c r="D1354" s="2397"/>
      <c r="E1354" s="2400" t="s">
        <v>6228</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While another project has been developed in the area (Freedom's Path Augusta I), no project has been done in the last six years within 1 mile of the project site, thereby affording this project 3 points.  Though not required, maps of this fact have been included in the Previous Projects tab in the application.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6611</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6612</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6613</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3951</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6893</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3823</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3368</v>
      </c>
      <c r="B1374" s="2465" t="s">
        <v>6571</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6857</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6894</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2.75">
      <c r="A1379" s="2406" t="str">
        <f>'Part VIII Scoring Criteria'!A228</f>
        <v>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3369</v>
      </c>
      <c r="B1384" s="2465" t="s">
        <v>6576</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6895</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6691</v>
      </c>
      <c r="D1386" s="2199"/>
      <c r="E1386" s="2199"/>
      <c r="F1386" s="2199"/>
      <c r="G1386" s="2199"/>
      <c r="H1386" s="2199"/>
      <c r="I1386" s="2199" t="str">
        <f>'Part VIII Scoring Criteria'!I235</f>
        <v>Terell Brown--Garrison for Veterans</v>
      </c>
      <c r="J1386" s="2199"/>
      <c r="K1386" s="2199"/>
      <c r="L1386" s="2199"/>
      <c r="M1386" s="2500"/>
      <c r="N1386" s="2199"/>
      <c r="O1386" s="2466" t="s">
        <v>6896</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6690</v>
      </c>
      <c r="D1387" s="2199"/>
      <c r="E1387" s="2199"/>
      <c r="F1387" s="2199"/>
      <c r="G1387" s="2199"/>
      <c r="H1387" s="2199"/>
      <c r="I1387" s="2199">
        <f>'Part VIII Scoring Criteria'!I236</f>
        <v>531390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6692</v>
      </c>
      <c r="D1388" s="2199"/>
      <c r="E1388" s="2199"/>
      <c r="F1388" s="2199"/>
      <c r="G1388" s="2199"/>
      <c r="H1388" s="2199"/>
      <c r="I1388" s="2199" t="str">
        <f>'Part VIII Scoring Criteria'!I237</f>
        <v>NMSDC</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6858</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6577</v>
      </c>
      <c r="C1392" s="2397"/>
      <c r="D1392" s="2404"/>
      <c r="E1392" s="2404"/>
      <c r="F1392" s="2397"/>
      <c r="G1392" s="2404" t="s">
        <v>6585</v>
      </c>
      <c r="H1392" s="2404"/>
      <c r="I1392" s="2397"/>
      <c r="J1392" s="2397"/>
      <c r="K1392" s="2397"/>
      <c r="L1392" s="2404"/>
      <c r="M1392" s="2342">
        <v>2</v>
      </c>
      <c r="N1392" s="2468"/>
      <c r="O1392" s="2396">
        <f>'Part VIII Scoring Criteria'!O241</f>
        <v>0</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6586</v>
      </c>
      <c r="D1393" s="2406"/>
      <c r="E1393" s="2406"/>
      <c r="F1393" s="2406"/>
      <c r="G1393" s="2406"/>
      <c r="H1393" s="2406"/>
      <c r="I1393" s="2406"/>
      <c r="J1393" s="2406"/>
      <c r="K1393" s="2406"/>
      <c r="L1393" s="2406"/>
      <c r="M1393" s="2406"/>
      <c r="N1393" s="2933"/>
      <c r="O1393" s="2312">
        <f>'Part VIII Scoring Criteria'!O242</f>
        <v>0</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6859</v>
      </c>
      <c r="D1394" s="2406"/>
      <c r="E1394" s="2406"/>
      <c r="F1394" s="2406"/>
      <c r="G1394" s="2406"/>
      <c r="H1394" s="2406"/>
      <c r="I1394" s="2406"/>
      <c r="J1394" s="2406"/>
      <c r="K1394" s="2406"/>
      <c r="L1394" s="2406"/>
      <c r="M1394" s="2406"/>
      <c r="N1394" s="2933"/>
      <c r="O1394" s="2312">
        <f>'Part VIII Scoring Criteria'!O243</f>
        <v>0</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6578</v>
      </c>
      <c r="C1395" s="2397"/>
      <c r="D1395" s="2404"/>
      <c r="E1395" s="2397"/>
      <c r="F1395" s="2397"/>
      <c r="G1395" s="2397"/>
      <c r="H1395" s="2397"/>
      <c r="I1395" s="2397"/>
      <c r="J1395" s="2397"/>
      <c r="K1395" s="2397"/>
      <c r="L1395" s="2404"/>
      <c r="M1395" s="2342">
        <v>2</v>
      </c>
      <c r="N1395" s="2468"/>
      <c r="O1395" s="2396">
        <f>'Part VIII Scoring Criteria'!O244</f>
        <v>2</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6860</v>
      </c>
      <c r="D1396" s="2404"/>
      <c r="E1396" s="2397"/>
      <c r="F1396" s="2397"/>
      <c r="G1396" s="2397"/>
      <c r="H1396" s="2397"/>
      <c r="I1396" s="2397"/>
      <c r="J1396" s="2397"/>
      <c r="K1396" s="2397"/>
      <c r="L1396" s="2404"/>
      <c r="M1396" s="2342"/>
      <c r="N1396" s="2468"/>
      <c r="O1396" s="2312" t="str">
        <f>'Part VIII Scoring Criteria'!O245</f>
        <v>Yes</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t="str">
        <f>'Part VIII Scoring Criteria'!O246</f>
        <v>Yes</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Terell Brown is a certified minority (disadvantaged) business owner who will have a 20% interest in the project and has and will continue to participate in every aspect of the development and operation of the project.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3367</v>
      </c>
      <c r="B1404" s="2465" t="s">
        <v>6582</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6583</v>
      </c>
      <c r="C1405" s="2397"/>
      <c r="D1405" s="2404"/>
      <c r="E1405" s="2404" t="s">
        <v>6594</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6584</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Owner commits to utilizing a CORES certified 3rd Party Contractor should one become available.  It should be noted that Solutions for Veterans is designated as the Lead Service Coordinator through the VA and has met the Quality Standards for Supportive Housing issued by the Corporation for Supportive Housing.</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3370</v>
      </c>
      <c r="B1413" s="2465" t="s">
        <v>3341</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3342</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6899</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3343</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6899</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3371</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3374</v>
      </c>
      <c r="B1431" s="2465" t="s">
        <v>3345</v>
      </c>
      <c r="C1431" s="2397"/>
      <c r="D1431" s="2405"/>
      <c r="E1431" s="2405"/>
      <c r="F1431" s="2199"/>
      <c r="G1431" s="2199"/>
      <c r="H1431" s="2199"/>
      <c r="I1431" s="2397"/>
      <c r="J1431" s="2985"/>
      <c r="K1431" s="2500"/>
      <c r="L1431" s="2397"/>
      <c r="M1431" s="2396">
        <v>4</v>
      </c>
      <c r="N1431" s="2312"/>
      <c r="O1431" s="2396">
        <f>'Part VIII Scoring Criteria'!O280</f>
        <v>4</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3346</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6861</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3952</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8315415</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6231</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3887</v>
      </c>
      <c r="C1443" s="2199" t="s">
        <v>6862</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6863</v>
      </c>
      <c r="C1444" s="2199" t="s">
        <v>6900</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6864</v>
      </c>
      <c r="C1445" s="2199" t="s">
        <v>6901</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8315415</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6906</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6234</v>
      </c>
      <c r="J1448" s="2994">
        <f>'Part V-Revenues &amp; Expenses'!$P$67</f>
        <v>76</v>
      </c>
      <c r="K1448" s="2994"/>
      <c r="L1448" s="2198"/>
      <c r="M1448" s="2198"/>
      <c r="N1448" s="2198"/>
      <c r="O1448" s="2397"/>
      <c r="P1448" s="2198"/>
      <c r="Q1448" s="2397"/>
      <c r="R1448" s="2397"/>
      <c r="S1448" s="2397"/>
      <c r="T1448" s="2397"/>
      <c r="U1448" s="2995" t="s">
        <v>6904</v>
      </c>
      <c r="V1448" s="2995" t="s">
        <v>6905</v>
      </c>
      <c r="W1448" s="2995" t="s">
        <v>6904</v>
      </c>
      <c r="X1448" s="2995" t="s">
        <v>6905</v>
      </c>
      <c r="Y1448" s="2995" t="s">
        <v>6904</v>
      </c>
      <c r="Z1448" s="2995" t="s">
        <v>6905</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6235</v>
      </c>
      <c r="J1449" s="2996">
        <f>IF(J1448=0,0,J1446/J1448)</f>
        <v>109413.35526315789</v>
      </c>
      <c r="K1449" s="2996"/>
      <c r="L1449" s="2397"/>
      <c r="M1449" s="2996">
        <f>IF(J1448=0,0,M1446/J1448)</f>
        <v>0</v>
      </c>
      <c r="N1449" s="2996"/>
      <c r="O1449" s="2996"/>
      <c r="P1449" s="2996"/>
      <c r="Q1449" s="2397"/>
      <c r="R1449" s="2397"/>
      <c r="S1449" s="2997" t="s">
        <v>6902</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6865</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6903</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6236</v>
      </c>
      <c r="J1451" s="3000">
        <f>'Part VIII Scoring Criteria'!J300</f>
        <v>3</v>
      </c>
      <c r="K1451" s="3000"/>
      <c r="L1451" s="2198"/>
      <c r="M1451" s="3000">
        <f>'Part VIII Scoring Criteria'!M300</f>
        <v>0</v>
      </c>
      <c r="N1451" s="3000"/>
      <c r="O1451" s="3000"/>
      <c r="P1451" s="3000"/>
      <c r="Q1451" s="2397"/>
      <c r="R1451" s="2397"/>
      <c r="S1451" s="2997" t="s">
        <v>6143</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1</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6866</v>
      </c>
      <c r="D1454" s="2406"/>
      <c r="E1454" s="2406"/>
      <c r="F1454" s="2406"/>
      <c r="G1454" s="2406"/>
      <c r="H1454" s="2406"/>
      <c r="I1454" s="2406"/>
      <c r="J1454" s="2406"/>
      <c r="K1454" s="2406"/>
      <c r="L1454" s="2406"/>
      <c r="M1454" s="2406"/>
      <c r="N1454" s="2951"/>
      <c r="O1454" s="2312" t="str">
        <f>'Part VIII Scoring Criteria'!O303</f>
        <v>Yes</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6867</v>
      </c>
      <c r="D1455" s="2199"/>
      <c r="E1455" s="2199"/>
      <c r="F1455" s="2199"/>
      <c r="G1455" s="2199"/>
      <c r="H1455" s="2199"/>
      <c r="I1455" s="2199"/>
      <c r="J1455" s="2199"/>
      <c r="K1455" s="2199"/>
      <c r="L1455" s="2397"/>
      <c r="M1455" s="2199"/>
      <c r="N1455" s="2911"/>
      <c r="O1455" s="2312" t="str">
        <f>'Part VIII Scoring Criteria'!O304</f>
        <v>Yes</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6868</v>
      </c>
      <c r="D1456" s="2397"/>
      <c r="E1456" s="2397"/>
      <c r="F1456" s="2397"/>
      <c r="G1456" s="2397"/>
      <c r="H1456" s="2397"/>
      <c r="I1456" s="2397"/>
      <c r="J1456" s="2397"/>
      <c r="K1456" s="2397"/>
      <c r="L1456" s="2397"/>
      <c r="M1456" s="2397"/>
      <c r="N1456" s="2911"/>
      <c r="O1456" s="2312" t="str">
        <f>'Part VIII Scoring Criteria'!O305</f>
        <v>Yes</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Within the body of the Site Control Letter is reference to the Lease tenure (75 years), the no-cost aspect of the Lease and the willingness of the VA to enter into the LURC restricting the Leasehold interest of the VA.  The project has commitments for federal and state historic tax credits accompanied by Part 2 and Part A certifications.</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3375</v>
      </c>
      <c r="B1463" s="2465" t="s">
        <v>2469</v>
      </c>
      <c r="C1463" s="2397"/>
      <c r="D1463" s="2400"/>
      <c r="E1463" s="2397"/>
      <c r="F1463" s="2397"/>
      <c r="G1463" s="2913"/>
      <c r="H1463" s="2913"/>
      <c r="I1463" s="2913"/>
      <c r="J1463" s="2913"/>
      <c r="K1463" s="2913"/>
      <c r="L1463" s="2913"/>
      <c r="M1463" s="2500">
        <v>2</v>
      </c>
      <c r="N1463" s="2468"/>
      <c r="O1463" s="2396">
        <f>'Part VIII Scoring Criteria'!O312</f>
        <v>2</v>
      </c>
      <c r="P1463" s="2396">
        <f>'Part VIII Scoring Criteria'!P312</f>
        <v>0</v>
      </c>
      <c r="Q1463" s="2500" t="s">
        <v>416</v>
      </c>
      <c r="R1463" s="2929" t="str">
        <f>IF(AND(O1463&gt;0,NOT($F$31="New Supply")), "Ineligible to score in this section, not New Supply!","")</f>
        <v>Ineligible to score in this section, not New Supply!</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Deemed historic via Ga DNRHPD approved NPS Part 1 Evaluation of Significance</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3953</v>
      </c>
      <c r="C1465" s="2403"/>
      <c r="D1465" s="2403"/>
      <c r="E1465" s="2403"/>
      <c r="F1465" s="2403"/>
      <c r="G1465" s="2403"/>
      <c r="H1465" s="2403"/>
      <c r="I1465" s="2403"/>
      <c r="J1465" s="2403"/>
      <c r="K1465" s="2403"/>
      <c r="L1465" s="2403"/>
      <c r="M1465" s="2402">
        <v>2</v>
      </c>
      <c r="N1465" s="2935"/>
      <c r="O1465" s="2396">
        <f>'Part VIII Scoring Criteria'!O314</f>
        <v>2</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The buildings are currently vacant and were previously used by the VA for various medical and administrative purposes.  The Buidlings will be adaptively re-used to create 76 apartments, community amenities, and management and services office space.  The Buildings will be renovated in accordance with NPS rehabilitation/preservation standards and receive a Part III certification as well as Historic Tax Credit equity.</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3954</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285">
      <c r="A1469" s="2406" t="str">
        <f>'Part VIII Scoring Criteria'!A318</f>
        <v>The project has received its Part 1, Part 2 and Part A certifications as well as commitment letters for Historic Tax Credit proceeds.</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3376</v>
      </c>
      <c r="B1474" s="2465" t="s">
        <v>4034</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3377</v>
      </c>
      <c r="B1483" s="2465" t="s">
        <v>6603</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6605</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6606</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6237</v>
      </c>
      <c r="C1486" s="2199"/>
      <c r="D1486" s="2199"/>
      <c r="E1486" s="2199"/>
      <c r="F1486" s="2199"/>
      <c r="G1486" s="2199"/>
      <c r="H1486" s="2199"/>
      <c r="I1486" s="2199"/>
      <c r="J1486" s="2199"/>
      <c r="K1486" s="2199"/>
      <c r="L1486" s="2199"/>
      <c r="M1486" s="2312">
        <v>1</v>
      </c>
      <c r="N1486" s="3002"/>
      <c r="O1486" s="2396">
        <f>'Part VIII Scoring Criteria'!O335</f>
        <v>1</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6607</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Project is designated Family, has ample 1 bedroom units that are not tied to PBV's to serve an 811 eligible population and the Owner is willing to accept any referrals through that program.</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3378</v>
      </c>
      <c r="B1496" s="2465" t="s">
        <v>6238</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2.75">
      <c r="A1498" s="2406" t="str">
        <f>'Part VIII Scoring Criteria'!A347</f>
        <v>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3379</v>
      </c>
      <c r="B1503" s="2465" t="s">
        <v>6914</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6869</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3801</v>
      </c>
      <c r="B1509" s="2465" t="s">
        <v>6609</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2.75">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6554</v>
      </c>
      <c r="B1516" s="2465" t="s">
        <v>6610</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6131</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6132</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2.75">
      <c r="A1520" s="2406" t="str">
        <f>'Part VIII Scoring Criteria'!A369</f>
        <v>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6915</v>
      </c>
      <c r="B1525" s="2465" t="s">
        <v>6916</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6917</v>
      </c>
      <c r="C1526" s="2397"/>
      <c r="D1526" s="2397"/>
      <c r="E1526" s="2397" t="s">
        <v>6919</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6221</v>
      </c>
      <c r="H1527" s="2199"/>
      <c r="I1527" s="2199"/>
      <c r="J1527" s="2199" t="s">
        <v>575</v>
      </c>
      <c r="L1527" s="2342" t="s">
        <v>6932</v>
      </c>
      <c r="M1527" s="3917" t="s">
        <v>6942</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6918</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75">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6920</v>
      </c>
      <c r="B1545" s="2465" t="s">
        <v>6921</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75">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This project has a commitment for 25 Project Based Vouchers, documented by an award letter from the Augusta Housing Authority.  However, the QAP states that the minimum documentation required is a Housing Assistance Payment Contract (HAP).  These contracts are not issued until a project is completed and ready to begin occupancy, so it is not possible to provide this documentation.  Hopefully, the letter supplied in TAB 25 as a commitment for NEW PBRA will be sufficient to capture the 3 points in this category.
A detailed narrative has been provided regarding the situation of the Part A Georgia Historic Tax Credit approval.  In short, while the application was submitted timely and the Federal Part 2 Certification was received (typically not done without the State Part A approval), a technical misunderstanding between the Historic Consultant (Ryan) and the Georgia SHPO regarding what constituted a formal submission (only electronic submission is accepted--not the submitted paper version), the Part A could not be issued by the LIHTC application date.  Recognizing the dilemma that this change in policy created, the SHPO agreed to provide a letter included in this application in TAB 42 stating that the Part A has been approved but formal documentation of that must be delayed another 3 weeks for additional technical reasons.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6561</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6562</v>
      </c>
      <c r="AZ1567" s="2198"/>
      <c r="BA1567" s="2198"/>
      <c r="BB1567" s="2198"/>
      <c r="BC1567" s="2198"/>
      <c r="BD1567" s="2198"/>
      <c r="BE1567" s="2198"/>
      <c r="BF1567" s="2198" t="s">
        <v>6563</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6135</v>
      </c>
      <c r="AC1569" s="2199"/>
      <c r="AD1569" s="2397"/>
      <c r="AE1569" s="2397"/>
      <c r="AF1569" s="2397"/>
      <c r="AG1569" s="2463" t="s">
        <v>6123</v>
      </c>
      <c r="AH1569" s="2463"/>
      <c r="AI1569" s="2463" t="s">
        <v>6504</v>
      </c>
      <c r="AJ1569" s="2463"/>
      <c r="AK1569" s="2463"/>
      <c r="AL1569" s="2463"/>
      <c r="AM1569" s="2463"/>
      <c r="AN1569" s="2405" t="s">
        <v>6136</v>
      </c>
      <c r="AO1569" s="2405"/>
      <c r="AP1569" s="2405"/>
      <c r="AQ1569" s="2405"/>
      <c r="AR1569" s="2397"/>
      <c r="AS1569" s="2466"/>
      <c r="AT1569" s="2465" t="s">
        <v>6135</v>
      </c>
      <c r="AU1569" s="2466"/>
      <c r="AV1569" s="2466"/>
      <c r="AW1569" s="2466"/>
      <c r="AX1569" s="2397"/>
      <c r="AY1569" s="2463" t="s">
        <v>6123</v>
      </c>
      <c r="AZ1569" s="2463"/>
      <c r="BA1569" s="2463" t="s">
        <v>6504</v>
      </c>
      <c r="BB1569" s="2463"/>
      <c r="BC1569" s="2463"/>
      <c r="BD1569" s="2463"/>
      <c r="BE1569" s="2463"/>
      <c r="BF1569" s="2463" t="s">
        <v>6123</v>
      </c>
      <c r="BG1569" s="2463"/>
      <c r="BH1569" s="2463" t="s">
        <v>6504</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6912</v>
      </c>
      <c r="AK1570" s="3006" t="s">
        <v>6544</v>
      </c>
      <c r="AL1570" s="3006" t="s">
        <v>6545</v>
      </c>
      <c r="AM1570" s="3006" t="s">
        <v>6546</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6544</v>
      </c>
      <c r="BD1570" s="3006" t="s">
        <v>6545</v>
      </c>
      <c r="BE1570" s="3006" t="s">
        <v>6546</v>
      </c>
      <c r="BF1570" s="3006">
        <v>0.09</v>
      </c>
      <c r="BG1570" s="3006">
        <v>0.04</v>
      </c>
      <c r="BH1570" s="3006">
        <v>0.04</v>
      </c>
      <c r="BI1570" s="3006" t="s">
        <v>6928</v>
      </c>
      <c r="BJ1570" s="3006" t="s">
        <v>6544</v>
      </c>
      <c r="BK1570" s="3006" t="s">
        <v>6545</v>
      </c>
      <c r="BL1570" s="3006" t="s">
        <v>6546</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6750</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6750</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6124</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6124</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6125</v>
      </c>
      <c r="AC1573" s="2397"/>
      <c r="AD1573" s="2397"/>
      <c r="AE1573" s="2397"/>
      <c r="AF1573" s="2397"/>
      <c r="AG1573" s="2959">
        <v>3</v>
      </c>
      <c r="AH1573" s="2959">
        <v>3</v>
      </c>
      <c r="AI1573" s="2959"/>
      <c r="AJ1573" s="2959"/>
      <c r="AK1573" s="2959"/>
      <c r="AL1573" s="2959"/>
      <c r="AM1573" s="2959"/>
      <c r="AN1573" s="2198" t="s">
        <v>6137</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6125</v>
      </c>
      <c r="AU1573" s="2397"/>
      <c r="AV1573" s="2397"/>
      <c r="AW1573" s="2397"/>
      <c r="AX1573" s="2397"/>
      <c r="AY1573" s="3007">
        <f>O1217</f>
        <v>3</v>
      </c>
      <c r="AZ1573" s="3007">
        <f>O1217</f>
        <v>3</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3392</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3392</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4036</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4036</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3337</v>
      </c>
      <c r="AC1576" s="2397"/>
      <c r="AD1576" s="2397"/>
      <c r="AE1576" s="2397"/>
      <c r="AF1576" s="2397"/>
      <c r="AG1576" s="2959">
        <v>3</v>
      </c>
      <c r="AH1576" s="2959">
        <v>2</v>
      </c>
      <c r="AI1576" s="2959"/>
      <c r="AJ1576" s="2959"/>
      <c r="AK1576" s="2959"/>
      <c r="AL1576" s="2959"/>
      <c r="AM1576" s="2959"/>
      <c r="AN1576" s="2198" t="s">
        <v>6560</v>
      </c>
      <c r="AO1576" s="2198"/>
      <c r="AP1576" s="2198"/>
      <c r="AQ1576" s="2198"/>
      <c r="AR1576" s="2397"/>
      <c r="AS1576" s="2468" t="s">
        <v>720</v>
      </c>
      <c r="AT1576" s="2199" t="s">
        <v>3337</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3393</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3393</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3394</v>
      </c>
      <c r="AC1578" s="2397"/>
      <c r="AD1578" s="2397"/>
      <c r="AE1578" s="2397"/>
      <c r="AF1578" s="2397"/>
      <c r="AG1578" s="2959">
        <v>3</v>
      </c>
      <c r="AH1578" s="2959"/>
      <c r="AI1578" s="2959"/>
      <c r="AJ1578" s="2959"/>
      <c r="AK1578" s="2959"/>
      <c r="AL1578" s="2959"/>
      <c r="AM1578" s="2959"/>
      <c r="AN1578" s="2199" t="s">
        <v>6555</v>
      </c>
      <c r="AO1578" s="2199"/>
      <c r="AP1578" s="2199"/>
      <c r="AQ1578" s="2312"/>
      <c r="AR1578" s="2397"/>
      <c r="AS1578" s="2468" t="s">
        <v>401</v>
      </c>
      <c r="AT1578" s="2199" t="s">
        <v>3394</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4037</v>
      </c>
      <c r="AC1579" s="2397"/>
      <c r="AD1579" s="2397"/>
      <c r="AE1579" s="2397"/>
      <c r="AF1579" s="2397"/>
      <c r="AG1579" s="2959">
        <v>10</v>
      </c>
      <c r="AH1579" s="2959">
        <v>5</v>
      </c>
      <c r="AI1579" s="2959"/>
      <c r="AJ1579" s="2959"/>
      <c r="AK1579" s="2959"/>
      <c r="AL1579" s="2959"/>
      <c r="AM1579" s="2959"/>
      <c r="AN1579" s="2199" t="s">
        <v>3305</v>
      </c>
      <c r="AO1579" s="2199"/>
      <c r="AP1579" s="2199"/>
      <c r="AQ1579" s="2312"/>
      <c r="AR1579" s="2397"/>
      <c r="AS1579" s="2468" t="s">
        <v>342</v>
      </c>
      <c r="AT1579" s="2199" t="s">
        <v>4037</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4062</v>
      </c>
      <c r="H1580" s="2397" t="s">
        <v>4063</v>
      </c>
      <c r="I1580" s="2402" t="s">
        <v>4061</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6126</v>
      </c>
      <c r="AC1580" s="2397"/>
      <c r="AD1580" s="2397"/>
      <c r="AE1580" s="2397"/>
      <c r="AF1580" s="2397"/>
      <c r="AG1580" s="2959">
        <v>1</v>
      </c>
      <c r="AH1580" s="2959"/>
      <c r="AI1580" s="2959"/>
      <c r="AJ1580" s="2959"/>
      <c r="AK1580" s="2959"/>
      <c r="AL1580" s="2959"/>
      <c r="AM1580" s="2959"/>
      <c r="AN1580" s="2199" t="s">
        <v>6141</v>
      </c>
      <c r="AO1580" s="2199"/>
      <c r="AP1580" s="2199"/>
      <c r="AQ1580" s="2312"/>
      <c r="AR1580" s="2397"/>
      <c r="AS1580" s="2468" t="s">
        <v>343</v>
      </c>
      <c r="AT1580" s="2199" t="s">
        <v>6126</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6510</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4065</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6127</v>
      </c>
      <c r="AC1582" s="2397"/>
      <c r="AD1582" s="2397"/>
      <c r="AE1582" s="2397"/>
      <c r="AF1582" s="2397"/>
      <c r="AG1582" s="2959">
        <v>3</v>
      </c>
      <c r="AH1582" s="2959"/>
      <c r="AI1582" s="2959"/>
      <c r="AJ1582" s="2959"/>
      <c r="AK1582" s="2959"/>
      <c r="AL1582" s="2959"/>
      <c r="AM1582" s="2959"/>
      <c r="AO1582" s="2199"/>
      <c r="AP1582" s="2400" t="s">
        <v>6140</v>
      </c>
      <c r="AQ1582" s="2312" t="str">
        <f>'Part VIII Scoring Criteria'!AQ431</f>
        <v/>
      </c>
      <c r="AR1582" s="2397"/>
      <c r="AS1582" s="2468" t="s">
        <v>1604</v>
      </c>
      <c r="AT1582" s="2199" t="s">
        <v>6127</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4064</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3368</v>
      </c>
      <c r="AB1583" s="2199" t="s">
        <v>4041</v>
      </c>
      <c r="AC1583" s="2397"/>
      <c r="AD1583" s="2397"/>
      <c r="AE1583" s="2397"/>
      <c r="AF1583" s="2397"/>
      <c r="AG1583" s="2959">
        <v>5</v>
      </c>
      <c r="AH1583" s="2959"/>
      <c r="AI1583" s="2959"/>
      <c r="AJ1583" s="2959"/>
      <c r="AK1583" s="2959"/>
      <c r="AL1583" s="2959"/>
      <c r="AM1583" s="2959"/>
      <c r="AN1583" s="2199"/>
      <c r="AO1583" s="2199"/>
      <c r="AP1583" s="2400" t="s">
        <v>6556</v>
      </c>
      <c r="AQ1583" s="2312" t="str">
        <f>'Part VIII Scoring Criteria'!AQ432</f>
        <v/>
      </c>
      <c r="AR1583" s="2397"/>
      <c r="AS1583" s="2468" t="s">
        <v>3368</v>
      </c>
      <c r="AT1583" s="2199" t="s">
        <v>4041</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3802</v>
      </c>
      <c r="AC1584" s="2397"/>
      <c r="AD1584" s="2397"/>
      <c r="AE1584" s="2397"/>
      <c r="AF1584" s="2397"/>
      <c r="AG1584" s="2959">
        <v>4</v>
      </c>
      <c r="AH1584" s="2959">
        <v>4</v>
      </c>
      <c r="AI1584" s="2959">
        <v>4</v>
      </c>
      <c r="AJ1584" s="2959">
        <v>4</v>
      </c>
      <c r="AK1584" s="2959">
        <v>4</v>
      </c>
      <c r="AL1584" s="2959">
        <v>4</v>
      </c>
      <c r="AM1584" s="2959">
        <v>4</v>
      </c>
      <c r="AN1584" s="2199"/>
      <c r="AO1584" s="2199"/>
      <c r="AP1584" s="2400" t="s">
        <v>6557</v>
      </c>
      <c r="AQ1584" s="2312" t="str">
        <f>'Part VIII Scoring Criteria'!AQ433</f>
        <v/>
      </c>
      <c r="AR1584" s="2397"/>
      <c r="AS1584" s="2468" t="s">
        <v>2080</v>
      </c>
      <c r="AT1584" s="2199" t="s">
        <v>3802</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4064</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3368</v>
      </c>
      <c r="AB1585" s="2199" t="s">
        <v>6547</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3368</v>
      </c>
      <c r="AT1585" s="2199" t="s">
        <v>6547</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4064</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3369</v>
      </c>
      <c r="AB1586" s="2199" t="s">
        <v>6548</v>
      </c>
      <c r="AC1586" s="2397"/>
      <c r="AD1586" s="2397"/>
      <c r="AE1586" s="2397"/>
      <c r="AF1586" s="2397"/>
      <c r="AG1586" s="2959">
        <v>2</v>
      </c>
      <c r="AH1586" s="2959">
        <v>2</v>
      </c>
      <c r="AI1586" s="2959">
        <v>2</v>
      </c>
      <c r="AJ1586" s="2959">
        <v>2</v>
      </c>
      <c r="AK1586" s="2959">
        <v>2</v>
      </c>
      <c r="AL1586" s="2959">
        <v>2</v>
      </c>
      <c r="AM1586" s="2959">
        <v>2</v>
      </c>
      <c r="AN1586" s="2199" t="s">
        <v>6558</v>
      </c>
      <c r="AO1586" s="2199"/>
      <c r="AP1586" s="2199"/>
      <c r="AQ1586" s="2312"/>
      <c r="AR1586" s="2397"/>
      <c r="AS1586" s="2468" t="s">
        <v>3369</v>
      </c>
      <c r="AT1586" s="2199" t="s">
        <v>6548</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3367</v>
      </c>
      <c r="AB1587" s="2199" t="s">
        <v>6553</v>
      </c>
      <c r="AC1587" s="2397"/>
      <c r="AD1587" s="2397"/>
      <c r="AE1587" s="2397"/>
      <c r="AF1587" s="2397"/>
      <c r="AG1587" s="2959">
        <v>2</v>
      </c>
      <c r="AH1587" s="2959"/>
      <c r="AI1587" s="2959"/>
      <c r="AJ1587" s="2959"/>
      <c r="AK1587" s="2959">
        <v>2</v>
      </c>
      <c r="AL1587" s="2959">
        <v>2</v>
      </c>
      <c r="AM1587" s="2959">
        <v>2</v>
      </c>
      <c r="AN1587" s="2199" t="s">
        <v>6559</v>
      </c>
      <c r="AO1587" s="2199"/>
      <c r="AP1587" s="2199"/>
      <c r="AQ1587" s="2500">
        <f>'Part II-Sources of Funds'!$L$14</f>
        <v>0</v>
      </c>
      <c r="AR1587" s="2397"/>
      <c r="AS1587" s="2468" t="s">
        <v>3367</v>
      </c>
      <c r="AT1587" s="2199" t="s">
        <v>6553</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4064</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3370</v>
      </c>
      <c r="AB1588" s="2199" t="s">
        <v>6128</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3370</v>
      </c>
      <c r="AT1588" s="2199" t="s">
        <v>6128</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4065</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3371</v>
      </c>
      <c r="AB1589" s="2199" t="s">
        <v>3395</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3371</v>
      </c>
      <c r="AT1589" s="2199" t="s">
        <v>3395</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4065</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3374</v>
      </c>
      <c r="AB1590" s="2199" t="s">
        <v>3396</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3374</v>
      </c>
      <c r="AT1590" s="2199" t="s">
        <v>3396</v>
      </c>
      <c r="AU1590" s="2397"/>
      <c r="AV1590" s="2397"/>
      <c r="AW1590" s="2397"/>
      <c r="AX1590" s="2397"/>
      <c r="AY1590" s="3007">
        <f>O1431</f>
        <v>4</v>
      </c>
      <c r="AZ1590" s="3007">
        <f>O1431</f>
        <v>4</v>
      </c>
      <c r="BA1590" s="3007">
        <f>O1431</f>
        <v>4</v>
      </c>
      <c r="BB1590" s="3007">
        <f>O1431</f>
        <v>4</v>
      </c>
      <c r="BC1590" s="3007">
        <f>O1431</f>
        <v>4</v>
      </c>
      <c r="BD1590" s="3007">
        <f>O1431</f>
        <v>4</v>
      </c>
      <c r="BE1590" s="3007">
        <f>O1431</f>
        <v>4</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4064</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3375</v>
      </c>
      <c r="AB1591" s="2199" t="s">
        <v>3397</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3375</v>
      </c>
      <c r="AT1591" s="2199" t="s">
        <v>3397</v>
      </c>
      <c r="AU1591" s="2397"/>
      <c r="AV1591" s="2397"/>
      <c r="AW1591" s="2397"/>
      <c r="AX1591" s="2397"/>
      <c r="AY1591" s="3007">
        <f>O1463</f>
        <v>2</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4065</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3376</v>
      </c>
      <c r="AB1592" s="2199" t="s">
        <v>6129</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3376</v>
      </c>
      <c r="AT1592" s="2199" t="s">
        <v>6129</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4064</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3377</v>
      </c>
      <c r="AB1593" s="2199" t="s">
        <v>6549</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3377</v>
      </c>
      <c r="AT1593" s="2199" t="s">
        <v>6549</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4064</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3378</v>
      </c>
      <c r="AB1594" s="2199" t="s">
        <v>6130</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3378</v>
      </c>
      <c r="AT1594" s="2199" t="s">
        <v>6130</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4064</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3379</v>
      </c>
      <c r="AB1595" s="2199" t="s">
        <v>6913</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3379</v>
      </c>
      <c r="AT1595" s="2199" t="s">
        <v>6913</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4064</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3801</v>
      </c>
      <c r="AB1596" s="2199" t="s">
        <v>6551</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3801</v>
      </c>
      <c r="AT1596" s="2199" t="s">
        <v>6551</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4064</v>
      </c>
      <c r="J1597" s="2397" t="s">
        <v>3335</v>
      </c>
      <c r="K1597" s="2397"/>
      <c r="L1597" s="2403"/>
      <c r="M1597" s="2397"/>
      <c r="N1597" s="2342"/>
      <c r="O1597" s="2399"/>
      <c r="P1597" s="2399"/>
      <c r="Q1597" s="2397"/>
      <c r="R1597" s="2397"/>
      <c r="S1597" s="2397"/>
      <c r="T1597" s="2397"/>
      <c r="U1597" s="2397"/>
      <c r="V1597" s="2397"/>
      <c r="W1597" s="2397"/>
      <c r="X1597" s="2397"/>
      <c r="Y1597" s="2397"/>
      <c r="Z1597" s="2397"/>
      <c r="AA1597" s="2468" t="s">
        <v>6554</v>
      </c>
      <c r="AB1597" s="2199" t="s">
        <v>6552</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6554</v>
      </c>
      <c r="AT1597" s="2199" t="s">
        <v>6552</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4064</v>
      </c>
      <c r="J1598" s="2397" t="s">
        <v>3330</v>
      </c>
      <c r="K1598" s="2397"/>
      <c r="L1598" s="2403"/>
      <c r="M1598" s="2397"/>
      <c r="N1598" s="2342"/>
      <c r="O1598" s="2399"/>
      <c r="P1598" s="2399"/>
      <c r="Q1598" s="2397"/>
      <c r="R1598" s="2397"/>
      <c r="S1598" s="2397"/>
      <c r="T1598" s="2397"/>
      <c r="U1598" s="2397"/>
      <c r="V1598" s="2397"/>
      <c r="W1598" s="2397"/>
      <c r="X1598" s="2397"/>
      <c r="Y1598" s="2397"/>
      <c r="Z1598" s="2397"/>
      <c r="AA1598" s="2468" t="s">
        <v>6920</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6920</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4064</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4065</v>
      </c>
      <c r="I1600" s="2402" t="s">
        <v>2453</v>
      </c>
      <c r="J1600" s="2397" t="s">
        <v>3326</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6242</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75</v>
      </c>
      <c r="AZ1600" s="2542">
        <f>'Part VIII Scoring Criteria'!AZ449</f>
        <v>67</v>
      </c>
      <c r="BA1600" s="2542">
        <f>'Part VIII Scoring Criteria'!BA449</f>
        <v>33</v>
      </c>
      <c r="BB1600" s="2542">
        <f>'Part VIII Scoring Criteria'!BB449</f>
        <v>33</v>
      </c>
      <c r="BC1600" s="2542">
        <f>'Part VIII Scoring Criteria'!BC449</f>
        <v>35</v>
      </c>
      <c r="BD1600" s="2542">
        <f>'Part VIII Scoring Criteria'!BD449</f>
        <v>35</v>
      </c>
      <c r="BE1600" s="2542">
        <f>'Part VIII Scoring Criteria'!BE449</f>
        <v>35</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4064</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4064</v>
      </c>
      <c r="J1602" s="2397" t="s">
        <v>3327</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4064</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3344</v>
      </c>
      <c r="H1604" s="2342" t="s">
        <v>4065</v>
      </c>
      <c r="I1604" s="2402" t="s">
        <v>2453</v>
      </c>
      <c r="J1604" s="2397" t="s">
        <v>3328</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4064</v>
      </c>
      <c r="J1605" s="2397" t="s">
        <v>3331</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4064</v>
      </c>
      <c r="J1606" s="2397" t="s">
        <v>3334</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4065</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4065</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4064</v>
      </c>
      <c r="J1609" s="2397" t="s">
        <v>3329</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4064</v>
      </c>
      <c r="J1610" s="2397" t="s">
        <v>3332</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4064</v>
      </c>
      <c r="J1611" s="2397" t="s">
        <v>3333</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4064</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4064</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4059</v>
      </c>
      <c r="H1614" s="2342" t="s">
        <v>4065</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4065</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4065</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4065</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4064</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4064</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4064</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4060</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4064</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4064</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4064</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4064</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4064</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4064</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4064</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4065</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formula1>"0,1"</formula1>
    </dataValidation>
  </dataValidations>
  <hyperlinks>
    <hyperlink ref="N1023" r:id="rId1"/>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47" zoomScaleNormal="100" workbookViewId="0">
      <selection activeCell="L51" sqref="L51:M51"/>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Freedom's Path Augusta III, Augusta, Richmond County</v>
      </c>
      <c r="B2" s="3103"/>
      <c r="C2" s="3103"/>
      <c r="D2" s="3103"/>
      <c r="E2" s="3103"/>
      <c r="F2" s="3103"/>
      <c r="G2" s="3103"/>
      <c r="H2" s="3103"/>
      <c r="I2" s="3103"/>
      <c r="J2" s="3103"/>
      <c r="K2" s="3103"/>
      <c r="L2" s="3103"/>
      <c r="M2" s="3103"/>
      <c r="N2" s="3103"/>
      <c r="O2" s="3103"/>
      <c r="P2" s="3103"/>
      <c r="Q2" s="3104"/>
      <c r="S2" s="3195" t="str">
        <f>$A$2</f>
        <v>PART TWO - SOURCES OF FUNDS (Proposed)  -  2023-0 Freedom's Path Augusta III, Augusta, Richmond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6078</v>
      </c>
      <c r="G6" s="144"/>
      <c r="I6" s="3206"/>
      <c r="J6" s="3207"/>
      <c r="L6" s="1232"/>
      <c r="M6" s="224" t="s">
        <v>1437</v>
      </c>
      <c r="Q6" s="1620"/>
      <c r="S6" s="3197"/>
      <c r="T6" s="3198"/>
      <c r="Y6" s="1742"/>
      <c r="Z6" s="1706">
        <v>6</v>
      </c>
      <c r="AZ6" s="1676"/>
    </row>
    <row r="7" spans="1:52" s="223" customFormat="1" ht="16.5" customHeight="1">
      <c r="A7" s="375"/>
      <c r="B7" s="823" t="s">
        <v>2649</v>
      </c>
      <c r="C7" s="224" t="s">
        <v>3875</v>
      </c>
      <c r="D7" s="144"/>
      <c r="E7" s="818"/>
      <c r="F7" s="224" t="s">
        <v>6079</v>
      </c>
      <c r="I7" s="3208"/>
      <c r="J7" s="3209"/>
      <c r="L7" s="823"/>
      <c r="M7" s="224" t="s">
        <v>514</v>
      </c>
      <c r="P7" s="1620"/>
      <c r="Q7" s="1620"/>
      <c r="S7" s="3199"/>
      <c r="T7" s="3200"/>
      <c r="Y7" s="1742"/>
      <c r="Z7" s="1706">
        <v>7</v>
      </c>
      <c r="AZ7" s="1676"/>
    </row>
    <row r="8" spans="1:52" s="223" customFormat="1" ht="16.5" customHeight="1">
      <c r="A8" s="144"/>
      <c r="B8" s="823"/>
      <c r="C8" s="224" t="s">
        <v>6659</v>
      </c>
      <c r="F8" s="223" t="s">
        <v>6662</v>
      </c>
      <c r="H8" s="3220" t="s">
        <v>3065</v>
      </c>
      <c r="I8" s="3221"/>
      <c r="J8" s="3222"/>
      <c r="L8" s="823"/>
      <c r="M8" s="224" t="s">
        <v>6664</v>
      </c>
      <c r="P8" s="1620"/>
      <c r="Q8" s="1620"/>
      <c r="S8" s="3199"/>
      <c r="T8" s="3200"/>
      <c r="Y8" s="1742"/>
      <c r="Z8" s="1706">
        <v>8</v>
      </c>
      <c r="AZ8" s="1676"/>
    </row>
    <row r="9" spans="1:52" s="223" customFormat="1" ht="16.5" customHeight="1">
      <c r="A9" s="375"/>
      <c r="B9" s="823"/>
      <c r="C9" s="223" t="s">
        <v>3299</v>
      </c>
      <c r="E9" s="1235"/>
      <c r="F9" s="3212" t="s">
        <v>6658</v>
      </c>
      <c r="G9" s="3213"/>
      <c r="H9" s="3210"/>
      <c r="I9" s="3210"/>
      <c r="J9" s="3211"/>
      <c r="L9" s="823"/>
      <c r="M9" s="224" t="s">
        <v>3876</v>
      </c>
      <c r="Q9" s="1620"/>
      <c r="S9" s="3201"/>
      <c r="T9" s="3202"/>
      <c r="Y9" s="1742"/>
      <c r="Z9" s="1706">
        <v>9</v>
      </c>
      <c r="AZ9" s="1676"/>
    </row>
    <row r="10" spans="1:52" s="223" customFormat="1" ht="16.5" customHeight="1">
      <c r="A10" s="375"/>
      <c r="B10" s="823"/>
      <c r="C10" s="224" t="s">
        <v>2394</v>
      </c>
      <c r="F10" s="3214" t="s">
        <v>3768</v>
      </c>
      <c r="G10" s="3215"/>
      <c r="H10" s="3215"/>
      <c r="I10" s="3215"/>
      <c r="J10" s="3216"/>
      <c r="L10" s="823"/>
      <c r="M10" s="224" t="s">
        <v>3192</v>
      </c>
      <c r="P10" s="1620"/>
      <c r="Q10" s="1620"/>
      <c r="S10" s="3197"/>
      <c r="T10" s="3198"/>
      <c r="Y10" s="1742"/>
      <c r="Z10" s="1706">
        <v>10</v>
      </c>
      <c r="AZ10" s="1676"/>
    </row>
    <row r="11" spans="1:52" s="223" customFormat="1" ht="16.5" customHeight="1">
      <c r="A11" s="375"/>
      <c r="B11" s="823"/>
      <c r="C11" s="224" t="s">
        <v>2395</v>
      </c>
      <c r="E11" s="1235"/>
      <c r="F11" s="3210" t="s">
        <v>6660</v>
      </c>
      <c r="G11" s="3210"/>
      <c r="H11" s="3210"/>
      <c r="I11" s="3210"/>
      <c r="J11" s="3211"/>
      <c r="L11" s="823"/>
      <c r="M11" s="223" t="s">
        <v>2398</v>
      </c>
      <c r="S11" s="3199"/>
      <c r="T11" s="3200"/>
      <c r="Y11" s="1742"/>
      <c r="Z11" s="1706">
        <v>11</v>
      </c>
      <c r="AZ11" s="1676"/>
    </row>
    <row r="12" spans="1:52" s="223" customFormat="1" ht="16.5" customHeight="1">
      <c r="A12" s="375"/>
      <c r="B12" s="823"/>
      <c r="C12" s="224" t="s">
        <v>3193</v>
      </c>
      <c r="F12" s="3203" t="s">
        <v>3769</v>
      </c>
      <c r="G12" s="3204"/>
      <c r="H12" s="3223"/>
      <c r="I12" s="3223"/>
      <c r="J12" s="3224"/>
      <c r="L12" s="823"/>
      <c r="M12" s="223" t="s">
        <v>3219</v>
      </c>
      <c r="S12" s="3199"/>
      <c r="T12" s="3200"/>
      <c r="Y12" s="1742"/>
      <c r="Z12" s="1706">
        <v>12</v>
      </c>
      <c r="AZ12" s="1676"/>
    </row>
    <row r="13" spans="1:52" s="223" customFormat="1" ht="16.5" customHeight="1">
      <c r="A13" s="375"/>
      <c r="B13" s="823"/>
      <c r="C13" s="224" t="s">
        <v>6661</v>
      </c>
      <c r="E13" s="1232" t="s">
        <v>2649</v>
      </c>
      <c r="F13" s="224" t="s">
        <v>6663</v>
      </c>
      <c r="H13" s="3203" t="s">
        <v>7040</v>
      </c>
      <c r="I13" s="3204"/>
      <c r="J13" s="3205"/>
      <c r="L13" s="823"/>
      <c r="M13" s="223" t="s">
        <v>6077</v>
      </c>
      <c r="S13" s="3199"/>
      <c r="T13" s="3200"/>
      <c r="Y13" s="1742"/>
      <c r="Z13" s="1706">
        <v>13</v>
      </c>
      <c r="AZ13" s="1676"/>
    </row>
    <row r="14" spans="1:52" s="223" customFormat="1" ht="16.5" customHeight="1">
      <c r="A14" s="375"/>
      <c r="B14" s="823"/>
      <c r="C14" s="223" t="s">
        <v>2397</v>
      </c>
      <c r="E14" s="823"/>
      <c r="F14" s="224" t="s">
        <v>3298</v>
      </c>
      <c r="L14" s="823"/>
      <c r="M14" s="223" t="s">
        <v>6709</v>
      </c>
      <c r="S14" s="3201"/>
      <c r="T14" s="3202"/>
      <c r="Y14" s="1742"/>
      <c r="Z14" s="1706">
        <v>14</v>
      </c>
      <c r="AZ14" s="1676"/>
    </row>
    <row r="15" spans="1:52" s="223" customFormat="1" ht="16.5" customHeight="1">
      <c r="A15" s="375"/>
      <c r="B15" s="823"/>
      <c r="C15" s="223" t="s">
        <v>3218</v>
      </c>
      <c r="E15" s="823"/>
      <c r="F15" s="224" t="s">
        <v>6080</v>
      </c>
      <c r="L15" s="823"/>
      <c r="M15" s="1621" t="s">
        <v>6081</v>
      </c>
      <c r="Y15" s="1742"/>
      <c r="Z15" s="1706">
        <v>15</v>
      </c>
      <c r="AZ15" s="1676"/>
    </row>
    <row r="16" spans="1:52" s="223" customFormat="1" ht="16.5" customHeight="1">
      <c r="A16" s="375"/>
      <c r="B16" s="818"/>
      <c r="C16" s="224" t="s">
        <v>1673</v>
      </c>
      <c r="E16" s="818"/>
      <c r="F16" s="224" t="s">
        <v>6498</v>
      </c>
      <c r="I16" s="3181"/>
      <c r="J16" s="3182"/>
      <c r="L16" s="818"/>
      <c r="M16" s="1621" t="s">
        <v>6076</v>
      </c>
      <c r="Y16" s="1742"/>
      <c r="Z16" s="1706">
        <v>16</v>
      </c>
      <c r="AZ16" s="1676"/>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3843</v>
      </c>
      <c r="M21" s="3185"/>
      <c r="N21" s="3185" t="s">
        <v>1410</v>
      </c>
      <c r="O21" s="3185"/>
      <c r="P21" s="3185" t="s">
        <v>1523</v>
      </c>
      <c r="Q21" s="3185"/>
      <c r="S21" s="3196" t="s">
        <v>2448</v>
      </c>
      <c r="T21" s="3196"/>
      <c r="Y21" s="1742"/>
      <c r="Z21" s="1706">
        <v>21</v>
      </c>
      <c r="AZ21" s="1676" t="s">
        <v>6339</v>
      </c>
    </row>
    <row r="22" spans="1:52" s="223" customFormat="1" ht="15.75" customHeight="1">
      <c r="A22" s="144"/>
      <c r="B22" s="3225" t="s">
        <v>1486</v>
      </c>
      <c r="C22" s="3226"/>
      <c r="D22" s="3226"/>
      <c r="E22" s="821"/>
      <c r="F22" s="821"/>
      <c r="G22" s="821"/>
      <c r="H22" s="3227" t="s">
        <v>7041</v>
      </c>
      <c r="I22" s="3228"/>
      <c r="J22" s="3228"/>
      <c r="K22" s="3229"/>
      <c r="L22" s="3230">
        <v>18662037</v>
      </c>
      <c r="M22" s="3231"/>
      <c r="N22" s="3232">
        <v>6.5000000000000002E-2</v>
      </c>
      <c r="O22" s="3233"/>
      <c r="P22" s="3234">
        <v>24</v>
      </c>
      <c r="Q22" s="3235"/>
      <c r="S22" s="3197"/>
      <c r="T22" s="3198"/>
      <c r="Y22" s="1742" t="s">
        <v>6339</v>
      </c>
      <c r="Z22" s="1706">
        <v>22</v>
      </c>
      <c r="AZ22" s="1676" t="s">
        <v>6340</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6340</v>
      </c>
      <c r="Z23" s="1706">
        <v>23</v>
      </c>
      <c r="AZ23" s="1676" t="s">
        <v>6341</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6341</v>
      </c>
      <c r="Z24" s="1706">
        <v>24</v>
      </c>
      <c r="AZ24" s="1676" t="s">
        <v>6342</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6342</v>
      </c>
      <c r="Z25" s="1706">
        <v>25</v>
      </c>
      <c r="AZ25" s="1676" t="s">
        <v>6343</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6343</v>
      </c>
      <c r="Z26" s="1706">
        <v>26</v>
      </c>
      <c r="AZ26" s="1676" t="s">
        <v>6344</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6344</v>
      </c>
      <c r="Z27" s="1706">
        <v>27</v>
      </c>
      <c r="AZ27" s="1676" t="s">
        <v>6345</v>
      </c>
    </row>
    <row r="28" spans="1:52" s="223" customFormat="1" ht="15.75" customHeight="1">
      <c r="A28" s="144"/>
      <c r="B28" s="3236" t="s">
        <v>746</v>
      </c>
      <c r="C28" s="3237"/>
      <c r="D28" s="3237"/>
      <c r="E28" s="144"/>
      <c r="H28" s="3238" t="s">
        <v>7042</v>
      </c>
      <c r="I28" s="3239"/>
      <c r="J28" s="3239"/>
      <c r="K28" s="3240"/>
      <c r="L28" s="3241">
        <v>2664108</v>
      </c>
      <c r="M28" s="3242"/>
      <c r="N28" s="144"/>
      <c r="Q28" s="144"/>
      <c r="S28" s="3201"/>
      <c r="T28" s="3202"/>
      <c r="Y28" s="1742" t="s">
        <v>6345</v>
      </c>
      <c r="Z28" s="1706">
        <v>28</v>
      </c>
      <c r="AZ28" s="1676" t="s">
        <v>6346</v>
      </c>
    </row>
    <row r="29" spans="1:52" s="223" customFormat="1" ht="15.75" customHeight="1">
      <c r="A29" s="144"/>
      <c r="B29" s="3236" t="s">
        <v>747</v>
      </c>
      <c r="C29" s="3237"/>
      <c r="D29" s="3237"/>
      <c r="E29" s="144"/>
      <c r="H29" s="3238" t="s">
        <v>7043</v>
      </c>
      <c r="I29" s="3239"/>
      <c r="J29" s="3239"/>
      <c r="K29" s="3240"/>
      <c r="L29" s="3241">
        <v>3087000</v>
      </c>
      <c r="M29" s="3242"/>
      <c r="N29" s="144"/>
      <c r="Q29" s="144"/>
      <c r="S29" s="3197"/>
      <c r="T29" s="3198"/>
      <c r="Y29" s="1742" t="s">
        <v>6346</v>
      </c>
      <c r="Z29" s="1706">
        <v>29</v>
      </c>
      <c r="AZ29" s="1676" t="s">
        <v>6347</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6347</v>
      </c>
      <c r="Z30" s="1706">
        <v>30</v>
      </c>
      <c r="AZ30" s="1676" t="s">
        <v>6348</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6348</v>
      </c>
      <c r="Z31" s="1706">
        <v>31</v>
      </c>
      <c r="AZ31" s="1676" t="s">
        <v>6349</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6349</v>
      </c>
      <c r="Z32" s="1706">
        <v>32</v>
      </c>
      <c r="AZ32" s="1676"/>
    </row>
    <row r="33" spans="1:52" s="223" customFormat="1" ht="16.5" customHeight="1">
      <c r="A33" s="144"/>
      <c r="B33" s="222" t="s">
        <v>1221</v>
      </c>
      <c r="C33" s="144"/>
      <c r="D33" s="144"/>
      <c r="E33" s="144"/>
      <c r="F33" s="144"/>
      <c r="G33" s="144"/>
      <c r="H33" s="144"/>
      <c r="I33" s="144"/>
      <c r="L33" s="3259">
        <f>SUM(L22:L32)</f>
        <v>24413145</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24412770</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375</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3842</v>
      </c>
      <c r="J39" s="3185"/>
      <c r="K39" s="446" t="s">
        <v>1675</v>
      </c>
      <c r="L39" s="446" t="s">
        <v>2046</v>
      </c>
      <c r="M39" s="446" t="s">
        <v>2046</v>
      </c>
      <c r="N39" s="3185" t="s">
        <v>69</v>
      </c>
      <c r="O39" s="3185"/>
      <c r="P39" s="3266"/>
      <c r="Q39" s="3266"/>
      <c r="S39" s="3196" t="s">
        <v>2448</v>
      </c>
      <c r="T39" s="3196"/>
      <c r="Y39" s="1742"/>
      <c r="Z39" s="1706">
        <v>39</v>
      </c>
      <c r="AZ39" s="1676" t="s">
        <v>6350</v>
      </c>
    </row>
    <row r="40" spans="1:52" s="223" customFormat="1" ht="15" customHeight="1">
      <c r="A40" s="144"/>
      <c r="B40" s="3225" t="s">
        <v>2402</v>
      </c>
      <c r="C40" s="3226"/>
      <c r="D40" s="3226"/>
      <c r="E40" s="3227"/>
      <c r="F40" s="3228"/>
      <c r="G40" s="3228"/>
      <c r="H40" s="3229"/>
      <c r="I40" s="3287"/>
      <c r="J40" s="3288"/>
      <c r="K40" s="654"/>
      <c r="L40" s="822"/>
      <c r="M40" s="822"/>
      <c r="N40" s="3272"/>
      <c r="O40" s="3272"/>
      <c r="P40" s="3286" t="str">
        <f>IF(OR(I40&lt;=0,I40=""),"",IF(N40="Cash Flow",0,IF(N40="Amortizing",-PMT(K40/12,M40*12,I40,0,0)*12,"")))</f>
        <v/>
      </c>
      <c r="Q40" s="3286"/>
      <c r="S40" s="3197"/>
      <c r="T40" s="3198"/>
      <c r="Y40" s="1742" t="s">
        <v>6350</v>
      </c>
      <c r="Z40" s="1706">
        <v>40</v>
      </c>
      <c r="AZ40" s="1676" t="s">
        <v>6351</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6351</v>
      </c>
      <c r="Z41" s="1706">
        <v>41</v>
      </c>
      <c r="AZ41" s="1676" t="s">
        <v>6352</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6352</v>
      </c>
      <c r="Z42" s="1706">
        <v>42</v>
      </c>
      <c r="AZ42" s="1676" t="s">
        <v>6353</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6353</v>
      </c>
      <c r="Z43" s="1706">
        <v>43</v>
      </c>
      <c r="AZ43" s="1676" t="s">
        <v>6354</v>
      </c>
    </row>
    <row r="44" spans="1:52" s="223" customFormat="1" ht="15" customHeight="1">
      <c r="A44" s="144"/>
      <c r="B44" s="820" t="s">
        <v>3942</v>
      </c>
      <c r="C44" s="144"/>
      <c r="D44" s="824"/>
      <c r="E44" s="3238"/>
      <c r="F44" s="3239"/>
      <c r="G44" s="3239"/>
      <c r="H44" s="3240"/>
      <c r="I44" s="3269"/>
      <c r="J44" s="3270"/>
      <c r="K44" s="364"/>
      <c r="L44" s="819"/>
      <c r="M44" s="819"/>
      <c r="N44" s="3301"/>
      <c r="O44" s="3301"/>
      <c r="P44" s="3300"/>
      <c r="Q44" s="3300"/>
      <c r="S44" s="3199"/>
      <c r="T44" s="3200"/>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0.48553343782654129</v>
      </c>
      <c r="E45" s="3186" t="s">
        <v>7035</v>
      </c>
      <c r="F45" s="3187"/>
      <c r="G45" s="3187"/>
      <c r="H45" s="3188"/>
      <c r="I45" s="3273">
        <v>929311</v>
      </c>
      <c r="J45" s="3274"/>
      <c r="K45" s="653">
        <v>0</v>
      </c>
      <c r="L45" s="652">
        <v>10</v>
      </c>
      <c r="M45" s="652">
        <v>10</v>
      </c>
      <c r="N45" s="3043" t="s">
        <v>1096</v>
      </c>
      <c r="O45" s="3044"/>
      <c r="P45" s="3275">
        <v>92931</v>
      </c>
      <c r="Q45" s="3276"/>
      <c r="S45" s="3199"/>
      <c r="T45" s="3200"/>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3404</v>
      </c>
      <c r="C47" s="144"/>
      <c r="E47" s="223" t="s">
        <v>3362</v>
      </c>
      <c r="F47" s="3284">
        <f>IF(OR($I$45="",$I$45=0,'Part VI-Pro Forma'!$S$35=0,'Part VI-Pro Forma'!$S$35=""),"",VLOOKUP($L$45,'Part VI-Pro Forma'!$Q$21:$S$40,3))</f>
        <v>1570287.0010409139</v>
      </c>
      <c r="G47" s="3285"/>
      <c r="H47" s="485" t="s">
        <v>3403</v>
      </c>
      <c r="I47" s="3284">
        <f>IF(OR($I$45="",$I$45=0,'Part VI-Pro Forma'!$R$35=0,'Part VI-Pro Forma'!$R$35=""),"",VLOOKUP($L$45,'Part VI-Pro Forma'!$Q$21:$S$35,2))</f>
        <v>929311</v>
      </c>
      <c r="J47" s="3285"/>
      <c r="K47" s="485" t="s">
        <v>3405</v>
      </c>
      <c r="L47" s="3282">
        <f>IF(OR($F$47 = 0,$F$47 =""),"",$I$47/$F$47)</f>
        <v>0.59180964969077443</v>
      </c>
      <c r="M47" s="3283"/>
      <c r="N47" s="3307" t="s">
        <v>3846</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6356</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6356</v>
      </c>
      <c r="Z49" s="1706">
        <v>49</v>
      </c>
      <c r="AZ49" s="1676" t="s">
        <v>6357</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6357</v>
      </c>
      <c r="Z50" s="1706">
        <v>50</v>
      </c>
      <c r="AZ50" s="1676" t="s">
        <v>6358</v>
      </c>
    </row>
    <row r="51" spans="1:52" s="223" customFormat="1" ht="15" customHeight="1">
      <c r="A51" s="144"/>
      <c r="B51" s="3236" t="s">
        <v>746</v>
      </c>
      <c r="C51" s="3237"/>
      <c r="D51" s="3277"/>
      <c r="E51" s="3238" t="s">
        <v>7045</v>
      </c>
      <c r="F51" s="3239"/>
      <c r="G51" s="3239"/>
      <c r="H51" s="3240"/>
      <c r="I51" s="3269">
        <v>10548794</v>
      </c>
      <c r="J51" s="3269"/>
      <c r="L51" s="3280">
        <f>'Part III-A-Uses of Funds'!$J$191*10*'Part III-A-Uses of Funds'!$N$182</f>
        <v>10657500</v>
      </c>
      <c r="M51" s="3280"/>
      <c r="N51" s="3281">
        <f>I51-L51</f>
        <v>-108706</v>
      </c>
      <c r="O51" s="3281"/>
      <c r="P51" s="324">
        <f>I51/I61</f>
        <v>0.39577489202176674</v>
      </c>
      <c r="Q51" s="144"/>
      <c r="S51" s="3199"/>
      <c r="T51" s="3200"/>
      <c r="Y51" s="1742" t="s">
        <v>6358</v>
      </c>
      <c r="Z51" s="1706">
        <v>51</v>
      </c>
      <c r="AZ51" s="1676" t="s">
        <v>6359</v>
      </c>
    </row>
    <row r="52" spans="1:52" s="223" customFormat="1" ht="15" customHeight="1">
      <c r="A52" s="144"/>
      <c r="B52" s="3236" t="s">
        <v>747</v>
      </c>
      <c r="C52" s="3237"/>
      <c r="D52" s="3277"/>
      <c r="E52" s="3238" t="s">
        <v>7043</v>
      </c>
      <c r="F52" s="3239"/>
      <c r="G52" s="3239"/>
      <c r="H52" s="3240"/>
      <c r="I52" s="3269">
        <v>6860000</v>
      </c>
      <c r="J52" s="3269"/>
      <c r="L52" s="3280">
        <f>'Part III-A-Uses of Funds'!$J$191*10*'Part III-A-Uses of Funds'!$Q$182</f>
        <v>6860000.0000000009</v>
      </c>
      <c r="M52" s="3280"/>
      <c r="N52" s="3281">
        <f>I52-L52</f>
        <v>0</v>
      </c>
      <c r="O52" s="3281"/>
      <c r="P52" s="324">
        <f>I52/I61</f>
        <v>0.25737688680519494</v>
      </c>
      <c r="Q52" s="144"/>
      <c r="S52" s="3199"/>
      <c r="T52" s="3200"/>
      <c r="Y52" s="1742" t="s">
        <v>6359</v>
      </c>
      <c r="Z52" s="1706">
        <v>52</v>
      </c>
      <c r="AZ52" s="1676" t="s">
        <v>6360</v>
      </c>
    </row>
    <row r="53" spans="1:52" s="223" customFormat="1" ht="15" customHeight="1">
      <c r="A53" s="144"/>
      <c r="B53" s="3236" t="s">
        <v>1331</v>
      </c>
      <c r="C53" s="3237"/>
      <c r="D53" s="3277"/>
      <c r="E53" s="3238" t="s">
        <v>7045</v>
      </c>
      <c r="F53" s="3239"/>
      <c r="G53" s="3239"/>
      <c r="H53" s="3240"/>
      <c r="I53" s="3269">
        <v>4715415</v>
      </c>
      <c r="J53" s="3269"/>
      <c r="P53" s="325">
        <f>SUM(P51:P52)</f>
        <v>0.65315177882696163</v>
      </c>
      <c r="Q53" s="144"/>
      <c r="S53" s="3201"/>
      <c r="T53" s="3202"/>
      <c r="Y53" s="1742" t="s">
        <v>6360</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6361</v>
      </c>
    </row>
    <row r="57" spans="1:52" s="223" customFormat="1" ht="15" customHeight="1">
      <c r="A57" s="144"/>
      <c r="B57" s="820" t="s">
        <v>690</v>
      </c>
      <c r="C57" s="3256" t="s">
        <v>7044</v>
      </c>
      <c r="D57" s="3256"/>
      <c r="E57" s="3238" t="s">
        <v>7043</v>
      </c>
      <c r="F57" s="3239"/>
      <c r="G57" s="3239"/>
      <c r="H57" s="3240"/>
      <c r="I57" s="3269">
        <v>3600000</v>
      </c>
      <c r="J57" s="3269"/>
      <c r="M57" s="301"/>
      <c r="N57" s="301"/>
      <c r="O57" s="301"/>
      <c r="P57" s="301"/>
      <c r="Q57" s="144"/>
      <c r="S57" s="3199"/>
      <c r="T57" s="3200"/>
      <c r="Y57" s="1742" t="s">
        <v>6361</v>
      </c>
      <c r="Z57" s="1706">
        <v>57</v>
      </c>
      <c r="AZ57" s="1676" t="s">
        <v>6362</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6362</v>
      </c>
      <c r="Z58" s="1706">
        <v>58</v>
      </c>
      <c r="AZ58" s="1676" t="s">
        <v>6363</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6363</v>
      </c>
      <c r="Z59" s="1706">
        <v>59</v>
      </c>
      <c r="AZ59" s="1676"/>
    </row>
    <row r="60" spans="1:52" s="223" customFormat="1" ht="14.25" customHeight="1">
      <c r="A60" s="144"/>
      <c r="B60" s="246" t="s">
        <v>2048</v>
      </c>
      <c r="C60" s="144"/>
      <c r="D60" s="144"/>
      <c r="E60" s="144"/>
      <c r="F60" s="144"/>
      <c r="G60" s="144"/>
      <c r="I60" s="3310">
        <f>SUM(I40:J45)+SUM(I49:J59)</f>
        <v>26653520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26653520</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7107</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5" priority="6" stopIfTrue="1" operator="equal">
      <formula>"Make a selection FIRST --&gt;"</formula>
    </cfRule>
  </conditionalFormatting>
  <conditionalFormatting sqref="D45">
    <cfRule type="cellIs" dxfId="194" priority="3" operator="greaterThan">
      <formula>50.000001%</formula>
    </cfRule>
  </conditionalFormatting>
  <conditionalFormatting sqref="J46">
    <cfRule type="cellIs" dxfId="193" priority="4" operator="equal">
      <formula>"No"</formula>
    </cfRule>
  </conditionalFormatting>
  <conditionalFormatting sqref="J48">
    <cfRule type="cellIs" dxfId="192" priority="5" operator="equal">
      <formula>"No"</formula>
    </cfRule>
  </conditionalFormatting>
  <conditionalFormatting sqref="P47:Q47">
    <cfRule type="cellIs" dxfId="191"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176" zoomScaleNormal="100" workbookViewId="0">
      <selection activeCell="P92" sqref="P92:Q9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Freedom's Path Augusta III, Augusta, Richmond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Freedom's Path Augusta III, Augusta, Richmond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10000</v>
      </c>
      <c r="H9" s="3231"/>
      <c r="J9" s="3230"/>
      <c r="K9" s="3231"/>
      <c r="L9" s="828"/>
      <c r="M9" s="3230"/>
      <c r="N9" s="3231"/>
      <c r="P9" s="3230">
        <v>10000</v>
      </c>
      <c r="Q9" s="3231"/>
      <c r="S9" s="3230"/>
      <c r="T9" s="3231"/>
      <c r="V9" s="849"/>
      <c r="W9" s="3342"/>
      <c r="X9" s="3343"/>
      <c r="AZ9" s="1968"/>
      <c r="BA9" s="1706">
        <v>9</v>
      </c>
    </row>
    <row r="10" spans="1:53" s="144" customFormat="1" ht="11.25" customHeight="1">
      <c r="B10" s="144" t="s">
        <v>431</v>
      </c>
      <c r="G10" s="3241">
        <v>10000</v>
      </c>
      <c r="H10" s="3242"/>
      <c r="J10" s="3241"/>
      <c r="K10" s="3242"/>
      <c r="L10" s="828"/>
      <c r="M10" s="3241"/>
      <c r="N10" s="3242"/>
      <c r="P10" s="3241">
        <v>10000</v>
      </c>
      <c r="Q10" s="3242"/>
      <c r="S10" s="3241"/>
      <c r="T10" s="3242"/>
      <c r="V10" s="849"/>
      <c r="W10" s="3342"/>
      <c r="X10" s="3343"/>
      <c r="AZ10" s="1968"/>
      <c r="BA10" s="1706">
        <v>10</v>
      </c>
    </row>
    <row r="11" spans="1:53" s="144" customFormat="1" ht="11.25" customHeight="1">
      <c r="B11" s="144" t="s">
        <v>458</v>
      </c>
      <c r="G11" s="3241">
        <v>45000</v>
      </c>
      <c r="H11" s="3242"/>
      <c r="J11" s="3241"/>
      <c r="K11" s="3242"/>
      <c r="L11" s="828"/>
      <c r="M11" s="3241"/>
      <c r="N11" s="3242"/>
      <c r="P11" s="3241">
        <v>45000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v>10000</v>
      </c>
      <c r="H13" s="3242"/>
      <c r="J13" s="3241"/>
      <c r="K13" s="3242"/>
      <c r="L13" s="828"/>
      <c r="M13" s="3241"/>
      <c r="N13" s="3242"/>
      <c r="P13" s="3241">
        <v>10000</v>
      </c>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6270</v>
      </c>
      <c r="C15" s="3377" t="s">
        <v>7083</v>
      </c>
      <c r="D15" s="3377"/>
      <c r="E15" s="3377"/>
      <c r="F15" s="3378"/>
      <c r="G15" s="3241">
        <v>60000</v>
      </c>
      <c r="H15" s="3242"/>
      <c r="J15" s="3241"/>
      <c r="K15" s="3242"/>
      <c r="L15" s="828"/>
      <c r="M15" s="3241"/>
      <c r="N15" s="3242"/>
      <c r="P15" s="3241">
        <v>60000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6364</v>
      </c>
      <c r="BA15" s="1706">
        <v>15</v>
      </c>
    </row>
    <row r="16" spans="1:53" s="144" customFormat="1" ht="11.25" customHeight="1">
      <c r="A16" s="303" t="str">
        <f>IF(AND(G16&gt;0,OR(C16="",C16="&lt;Enter detailed description here; use Comments section if needed&gt;")),"X","")</f>
        <v/>
      </c>
      <c r="B16" s="147" t="s">
        <v>6271</v>
      </c>
      <c r="C16" s="3377" t="s">
        <v>6720</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6365</v>
      </c>
      <c r="BA16" s="1706">
        <v>16</v>
      </c>
    </row>
    <row r="17" spans="1:53" s="144" customFormat="1" ht="11.25" customHeight="1" thickBot="1">
      <c r="A17" s="303" t="str">
        <f>IF(AND(G17&gt;0,OR(C17="",C17="&lt;Enter detailed description here; use Comments section if needed&gt;")),"X","")</f>
        <v/>
      </c>
      <c r="B17" s="147" t="s">
        <v>6272</v>
      </c>
      <c r="C17" s="3377" t="s">
        <v>6720</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6366</v>
      </c>
      <c r="BA17" s="1706">
        <v>17</v>
      </c>
    </row>
    <row r="18" spans="1:53" s="144" customFormat="1" ht="12.6" customHeight="1" thickTop="1">
      <c r="F18" s="281" t="s">
        <v>184</v>
      </c>
      <c r="G18" s="3338">
        <f>SUM(G9:G17)</f>
        <v>135000</v>
      </c>
      <c r="H18" s="3339"/>
      <c r="J18" s="3338">
        <f>SUM(J9:J17)</f>
        <v>0</v>
      </c>
      <c r="K18" s="3339"/>
      <c r="L18" s="828"/>
      <c r="M18" s="3338">
        <f>SUM(M9:M17)</f>
        <v>0</v>
      </c>
      <c r="N18" s="3339"/>
      <c r="P18" s="3338">
        <f>SUM(P9:P17)</f>
        <v>135000</v>
      </c>
      <c r="Q18" s="3339"/>
      <c r="S18" s="3338">
        <f>SUM(S9:S17)</f>
        <v>0</v>
      </c>
      <c r="T18" s="3339"/>
      <c r="V18" s="851">
        <f>SUM(V9:V17)</f>
        <v>0</v>
      </c>
      <c r="W18" s="3351"/>
      <c r="X18" s="3352"/>
      <c r="AZ18" s="1968" t="s">
        <v>6367</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0</v>
      </c>
      <c r="G20" s="3230"/>
      <c r="H20" s="3231"/>
      <c r="J20" s="283"/>
      <c r="K20" s="280"/>
      <c r="L20" s="283"/>
      <c r="M20" s="283"/>
      <c r="N20" s="280"/>
      <c r="P20" s="283"/>
      <c r="Q20" s="280"/>
      <c r="S20" s="3230"/>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0</v>
      </c>
      <c r="H24" s="3339"/>
      <c r="J24" s="283"/>
      <c r="K24" s="280"/>
      <c r="L24" s="283"/>
      <c r="M24" s="3338">
        <f>SUM(M22:M23)</f>
        <v>0</v>
      </c>
      <c r="N24" s="3339"/>
      <c r="P24" s="283"/>
      <c r="Q24" s="280"/>
      <c r="S24" s="3338">
        <f>SUM(S20:S23)</f>
        <v>0</v>
      </c>
      <c r="T24" s="3339"/>
      <c r="V24" s="851">
        <f>SUM(V20:V23)</f>
        <v>0</v>
      </c>
      <c r="W24" s="3351"/>
      <c r="X24" s="3352"/>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314934.14634146343</v>
      </c>
      <c r="G26" s="3230">
        <v>774738</v>
      </c>
      <c r="H26" s="3231"/>
      <c r="J26" s="3230"/>
      <c r="K26" s="3231"/>
      <c r="L26" s="828"/>
      <c r="M26" s="3379"/>
      <c r="N26" s="3380"/>
      <c r="P26" s="3230">
        <v>774738</v>
      </c>
      <c r="Q26" s="3231"/>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774738</v>
      </c>
      <c r="H28" s="3339"/>
      <c r="J28" s="3338">
        <f>SUM(J26:J27)</f>
        <v>0</v>
      </c>
      <c r="K28" s="3339"/>
      <c r="L28" s="283"/>
      <c r="M28" s="3338">
        <f>M26</f>
        <v>0</v>
      </c>
      <c r="N28" s="3339"/>
      <c r="P28" s="3338">
        <f>P26</f>
        <v>774738</v>
      </c>
      <c r="Q28" s="3339"/>
      <c r="S28" s="3338">
        <f>SUM(S26:S27)</f>
        <v>0</v>
      </c>
      <c r="T28" s="3339"/>
      <c r="V28" s="851">
        <f>SUM(V26:V27)</f>
        <v>0</v>
      </c>
      <c r="W28" s="3351"/>
      <c r="X28" s="3352"/>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17541301</v>
      </c>
      <c r="H31" s="3242"/>
      <c r="J31" s="3241"/>
      <c r="K31" s="3242"/>
      <c r="L31" s="828"/>
      <c r="M31" s="3241"/>
      <c r="N31" s="3242"/>
      <c r="P31" s="3241">
        <v>17541301</v>
      </c>
      <c r="Q31" s="3242"/>
      <c r="S31" s="3241"/>
      <c r="T31" s="3242"/>
      <c r="V31" s="849"/>
      <c r="W31" s="3342"/>
      <c r="X31" s="3343"/>
      <c r="AZ31" s="1968"/>
      <c r="BA31" s="1706">
        <v>31</v>
      </c>
    </row>
    <row r="32" spans="1:53" s="144" customFormat="1" ht="11.25" customHeight="1">
      <c r="B32" s="144" t="s">
        <v>6087</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6085</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6086</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17541301</v>
      </c>
      <c r="H36" s="3339"/>
      <c r="J36" s="3338">
        <f>SUM(J30:J35)</f>
        <v>0</v>
      </c>
      <c r="K36" s="3339"/>
      <c r="L36" s="828"/>
      <c r="M36" s="3338">
        <f>SUM(M30:M35)</f>
        <v>0</v>
      </c>
      <c r="N36" s="3339"/>
      <c r="P36" s="3338">
        <f>SUM(P30:P35)</f>
        <v>17541301</v>
      </c>
      <c r="Q36" s="3339"/>
      <c r="S36" s="3338">
        <f>SUM(S30:S35)</f>
        <v>0</v>
      </c>
      <c r="T36" s="3339"/>
      <c r="V36" s="851">
        <f>SUM(V30:V35)</f>
        <v>0</v>
      </c>
      <c r="W36" s="3351"/>
      <c r="X36" s="3352"/>
      <c r="AZ36" s="1968" t="s">
        <v>6370</v>
      </c>
      <c r="BA36" s="1706">
        <v>36</v>
      </c>
    </row>
    <row r="37" spans="1:53" s="144" customFormat="1" ht="12" customHeight="1">
      <c r="B37" s="243" t="s">
        <v>2163</v>
      </c>
      <c r="D37" s="3384" t="s">
        <v>3224</v>
      </c>
      <c r="E37" s="3384"/>
      <c r="F37" s="760">
        <f>SUM(F38:F40)</f>
        <v>0.11245493635386997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1098962</v>
      </c>
      <c r="F38" s="1949">
        <f>IF(($G$28+$G$36)=0,0,G38/($G$28+$G$36))</f>
        <v>4.8194972723087127E-2</v>
      </c>
      <c r="G38" s="3230">
        <v>882741</v>
      </c>
      <c r="H38" s="3231"/>
      <c r="I38" s="145"/>
      <c r="J38" s="3230"/>
      <c r="K38" s="3231"/>
      <c r="L38" s="828"/>
      <c r="M38" s="3230"/>
      <c r="N38" s="3231"/>
      <c r="P38" s="3230">
        <v>882741</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366320</v>
      </c>
      <c r="F39" s="1949">
        <f>IF(($G$28+$G$36)=0,0,G39/($G$28+$G$36))</f>
        <v>1.6064990907695708E-2</v>
      </c>
      <c r="G39" s="3241">
        <v>294247</v>
      </c>
      <c r="H39" s="3242"/>
      <c r="I39" s="145"/>
      <c r="J39" s="3241"/>
      <c r="K39" s="3242"/>
      <c r="L39" s="828"/>
      <c r="M39" s="3241"/>
      <c r="N39" s="3242"/>
      <c r="P39" s="3241">
        <v>294247</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1098962</v>
      </c>
      <c r="F40" s="1952">
        <f>IF(($G$28+$G$36)=0,0,G40/($G$28+$G$36))</f>
        <v>4.8194972723087127E-2</v>
      </c>
      <c r="G40" s="3340">
        <v>882741</v>
      </c>
      <c r="H40" s="3341"/>
      <c r="I40" s="145"/>
      <c r="J40" s="3340"/>
      <c r="K40" s="3341"/>
      <c r="L40" s="828"/>
      <c r="M40" s="3340"/>
      <c r="N40" s="3341"/>
      <c r="P40" s="3340">
        <v>882741</v>
      </c>
      <c r="Q40" s="3341"/>
      <c r="S40" s="3340"/>
      <c r="T40" s="3341"/>
      <c r="V40" s="849"/>
      <c r="W40" s="3349"/>
      <c r="X40" s="3350"/>
      <c r="AZ40" s="1968"/>
      <c r="BA40" s="1706">
        <v>40</v>
      </c>
    </row>
    <row r="41" spans="1:53" s="144" customFormat="1" ht="12.6" customHeight="1" thickTop="1">
      <c r="B41" s="147" t="s">
        <v>3225</v>
      </c>
      <c r="D41" s="761">
        <f>SUM(D38:D40)</f>
        <v>0.14000000000000001</v>
      </c>
      <c r="E41" s="762">
        <f>SUM(E38:E40)</f>
        <v>2564244</v>
      </c>
      <c r="F41" s="1946" t="s">
        <v>184</v>
      </c>
      <c r="G41" s="3338">
        <f>SUM(G38:G40)</f>
        <v>2059729</v>
      </c>
      <c r="H41" s="3339"/>
      <c r="J41" s="3338">
        <f>SUM(J38:J40)</f>
        <v>0</v>
      </c>
      <c r="K41" s="3339"/>
      <c r="L41" s="283"/>
      <c r="M41" s="3338">
        <f>SUM(M38:M40)</f>
        <v>0</v>
      </c>
      <c r="N41" s="3339"/>
      <c r="P41" s="3338">
        <f>SUM(P38:P40)</f>
        <v>2059729</v>
      </c>
      <c r="Q41" s="3339"/>
      <c r="S41" s="3338">
        <f>SUM(S38:S40)</f>
        <v>0</v>
      </c>
      <c r="T41" s="3339"/>
      <c r="V41" s="851">
        <f>SUM(V38:V40)</f>
        <v>0</v>
      </c>
      <c r="W41" s="3351"/>
      <c r="X41" s="3352"/>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04">
        <f>G28+G36+G41</f>
        <v>20375768</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377" t="s">
        <v>6720</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6373</v>
      </c>
      <c r="BA47" s="1706">
        <v>47</v>
      </c>
    </row>
    <row r="48" spans="1:53" s="144" customFormat="1" ht="12.6" customHeight="1">
      <c r="B48" s="1665" t="s">
        <v>2479</v>
      </c>
      <c r="C48" s="1666"/>
      <c r="E48" s="3396" t="s">
        <v>2478</v>
      </c>
      <c r="F48" s="1667">
        <f>C49/'Part V-Revenues &amp; Expenses'!$P$65</f>
        <v>268102.21052631579</v>
      </c>
      <c r="G48" s="1668" t="s">
        <v>2492</v>
      </c>
      <c r="H48" s="1669"/>
      <c r="I48" s="1669"/>
      <c r="J48" s="3398">
        <f>C49/'Part V-Revenues &amp; Expenses'!$P$67</f>
        <v>268102.21052631579</v>
      </c>
      <c r="K48" s="3398"/>
      <c r="L48" s="1669"/>
      <c r="M48" s="3399" t="s">
        <v>6474</v>
      </c>
      <c r="N48" s="3399"/>
      <c r="O48" s="1669"/>
      <c r="P48" s="3398">
        <f>C49/'Part V-Revenues &amp; Expenses'!$K$175</f>
        <v>257.85583396608456</v>
      </c>
      <c r="Q48" s="3398"/>
      <c r="R48" s="1669"/>
      <c r="S48" s="3400" t="s">
        <v>6476</v>
      </c>
      <c r="T48" s="3401"/>
      <c r="V48" s="852"/>
      <c r="W48" s="3392"/>
      <c r="X48" s="3393"/>
      <c r="AZ48" s="1968"/>
      <c r="BA48" s="1706">
        <v>48</v>
      </c>
    </row>
    <row r="49" spans="1:53" s="144" customFormat="1" ht="12.6" customHeight="1">
      <c r="B49" s="1714" t="s">
        <v>6487</v>
      </c>
      <c r="C49" s="1713">
        <f>G28+G36+G41+G46</f>
        <v>20375768</v>
      </c>
      <c r="E49" s="3397"/>
      <c r="F49" s="1670">
        <f>C49/'Part V-Revenues &amp; Expenses'!$P$166</f>
        <v>484.21501901140687</v>
      </c>
      <c r="G49" s="1671" t="s">
        <v>2493</v>
      </c>
      <c r="H49" s="1672"/>
      <c r="I49" s="1672"/>
      <c r="J49" s="3386">
        <f>C49/'Part V-Revenues &amp; Expenses'!$P$168</f>
        <v>484.21501901140687</v>
      </c>
      <c r="K49" s="3386"/>
      <c r="L49" s="1672"/>
      <c r="M49" s="3387" t="s">
        <v>6475</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3408</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2037576.8</v>
      </c>
      <c r="F55" s="1756">
        <f>G55/C49</f>
        <v>7.361685704313084E-2</v>
      </c>
      <c r="G55" s="3388">
        <v>1500000</v>
      </c>
      <c r="H55" s="3389"/>
      <c r="I55" s="144"/>
      <c r="J55" s="3388"/>
      <c r="K55" s="3389"/>
      <c r="L55" s="828"/>
      <c r="M55" s="3388"/>
      <c r="N55" s="3389"/>
      <c r="O55" s="144"/>
      <c r="P55" s="3388">
        <v>1500000</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6296</v>
      </c>
      <c r="C57" s="1666"/>
      <c r="E57" s="3481" t="s">
        <v>6297</v>
      </c>
      <c r="F57" s="1667">
        <f>B58/'Part V-Revenues &amp; Expenses'!$P$65</f>
        <v>287839.05263157893</v>
      </c>
      <c r="G57" s="1668" t="s">
        <v>2492</v>
      </c>
      <c r="H57" s="1669"/>
      <c r="I57" s="1669"/>
      <c r="J57" s="3398">
        <f>B58/'Part V-Revenues &amp; Expenses'!$P$67</f>
        <v>287839.05263157893</v>
      </c>
      <c r="K57" s="3398"/>
      <c r="L57" s="1669"/>
      <c r="M57" s="3399" t="s">
        <v>6474</v>
      </c>
      <c r="N57" s="3399"/>
      <c r="O57" s="1669"/>
      <c r="P57" s="3398">
        <f>B58/'Part V-Revenues &amp; Expenses'!$K$175</f>
        <v>276.83837003290307</v>
      </c>
      <c r="Q57" s="3398"/>
      <c r="R57" s="1669"/>
      <c r="S57" s="3400" t="s">
        <v>6476</v>
      </c>
      <c r="T57" s="3401"/>
      <c r="V57" s="852"/>
      <c r="W57" s="3392"/>
      <c r="X57" s="3393"/>
      <c r="AZ57" s="1968"/>
      <c r="BA57" s="1706">
        <v>54</v>
      </c>
    </row>
    <row r="58" spans="1:53" s="144" customFormat="1" ht="12.6" customHeight="1">
      <c r="B58" s="3479">
        <f>C49+G55</f>
        <v>21875768</v>
      </c>
      <c r="C58" s="3480"/>
      <c r="E58" s="3482"/>
      <c r="F58" s="1670">
        <f>B58/'Part V-Revenues &amp; Expenses'!$P$166</f>
        <v>519.86140684410645</v>
      </c>
      <c r="G58" s="1671" t="s">
        <v>2493</v>
      </c>
      <c r="H58" s="1672"/>
      <c r="I58" s="1672"/>
      <c r="J58" s="3386">
        <f>B58/'Part V-Revenues &amp; Expenses'!$P$168</f>
        <v>519.86140684410645</v>
      </c>
      <c r="K58" s="3386"/>
      <c r="L58" s="1672"/>
      <c r="M58" s="3387" t="s">
        <v>6475</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186620</v>
      </c>
      <c r="H63" s="3242"/>
      <c r="J63" s="3241"/>
      <c r="K63" s="3242"/>
      <c r="L63" s="828"/>
      <c r="M63" s="3241"/>
      <c r="N63" s="3242"/>
      <c r="P63" s="3241">
        <v>186620</v>
      </c>
      <c r="Q63" s="3242"/>
      <c r="S63" s="3241"/>
      <c r="T63" s="3242"/>
      <c r="V63" s="853"/>
      <c r="W63" s="3342"/>
      <c r="X63" s="3343"/>
      <c r="AZ63" s="1968"/>
      <c r="BA63" s="1706">
        <v>63</v>
      </c>
    </row>
    <row r="64" spans="1:53" s="144" customFormat="1" ht="12" customHeight="1">
      <c r="B64" s="144" t="s">
        <v>2167</v>
      </c>
      <c r="G64" s="3241">
        <v>890000</v>
      </c>
      <c r="H64" s="3242"/>
      <c r="J64" s="3241"/>
      <c r="K64" s="3242"/>
      <c r="L64" s="828"/>
      <c r="M64" s="3241"/>
      <c r="N64" s="3242"/>
      <c r="P64" s="3241">
        <v>890000</v>
      </c>
      <c r="Q64" s="3242"/>
      <c r="S64" s="3241"/>
      <c r="T64" s="3242"/>
      <c r="V64" s="853"/>
      <c r="W64" s="3342"/>
      <c r="X64" s="3343"/>
      <c r="AZ64" s="1968"/>
      <c r="BA64" s="1706">
        <v>64</v>
      </c>
    </row>
    <row r="65" spans="1:53" s="144" customFormat="1" ht="12" customHeight="1">
      <c r="B65" s="144" t="s">
        <v>2168</v>
      </c>
      <c r="G65" s="3241">
        <v>55000</v>
      </c>
      <c r="H65" s="3242"/>
      <c r="J65" s="3241"/>
      <c r="K65" s="3242"/>
      <c r="L65" s="828"/>
      <c r="M65" s="3241"/>
      <c r="N65" s="3242"/>
      <c r="P65" s="3241">
        <v>55000</v>
      </c>
      <c r="Q65" s="3242"/>
      <c r="S65" s="3241"/>
      <c r="T65" s="3242"/>
      <c r="V65" s="853"/>
      <c r="W65" s="3342"/>
      <c r="X65" s="3343"/>
      <c r="AZ65" s="1968" t="s">
        <v>6374</v>
      </c>
      <c r="BA65" s="1706">
        <v>65</v>
      </c>
    </row>
    <row r="66" spans="1:53" s="144" customFormat="1" ht="12" customHeight="1">
      <c r="B66" s="144" t="s">
        <v>2450</v>
      </c>
      <c r="G66" s="3241">
        <v>18000</v>
      </c>
      <c r="H66" s="3242"/>
      <c r="J66" s="3241"/>
      <c r="K66" s="3242"/>
      <c r="L66" s="828"/>
      <c r="M66" s="3241"/>
      <c r="N66" s="3242"/>
      <c r="P66" s="3241">
        <v>18000</v>
      </c>
      <c r="Q66" s="3242"/>
      <c r="S66" s="3241"/>
      <c r="T66" s="3242"/>
      <c r="V66" s="853"/>
      <c r="W66" s="3342"/>
      <c r="X66" s="3343"/>
      <c r="AZ66" s="1968" t="s">
        <v>6375</v>
      </c>
      <c r="BA66" s="1706">
        <v>66</v>
      </c>
    </row>
    <row r="67" spans="1:53" s="144" customFormat="1" ht="12" customHeight="1">
      <c r="B67" s="144" t="s">
        <v>676</v>
      </c>
      <c r="G67" s="3241"/>
      <c r="H67" s="3242"/>
      <c r="J67" s="3241"/>
      <c r="K67" s="3242"/>
      <c r="L67" s="828"/>
      <c r="M67" s="3241"/>
      <c r="N67" s="3242"/>
      <c r="P67" s="3241"/>
      <c r="Q67" s="3242"/>
      <c r="S67" s="3241"/>
      <c r="T67" s="3242"/>
      <c r="V67" s="853"/>
      <c r="W67" s="3342"/>
      <c r="X67" s="3343"/>
      <c r="AZ67" s="1968" t="s">
        <v>6376</v>
      </c>
      <c r="BA67" s="1706">
        <v>67</v>
      </c>
    </row>
    <row r="68" spans="1:53" s="144" customFormat="1" ht="12" customHeight="1">
      <c r="B68" s="144" t="s">
        <v>2169</v>
      </c>
      <c r="G68" s="3241">
        <v>75000</v>
      </c>
      <c r="H68" s="3242"/>
      <c r="J68" s="3241"/>
      <c r="K68" s="3242"/>
      <c r="L68" s="828"/>
      <c r="M68" s="3241"/>
      <c r="N68" s="3242"/>
      <c r="P68" s="3241">
        <v>75000</v>
      </c>
      <c r="Q68" s="3242"/>
      <c r="S68" s="3241"/>
      <c r="T68" s="3242"/>
      <c r="V68" s="853"/>
      <c r="W68" s="3342"/>
      <c r="X68" s="3343"/>
      <c r="AZ68" s="1968"/>
      <c r="BA68" s="1706">
        <v>68</v>
      </c>
    </row>
    <row r="69" spans="1:53" s="144" customFormat="1" ht="12" customHeight="1">
      <c r="B69" s="144" t="s">
        <v>1200</v>
      </c>
      <c r="G69" s="3241">
        <v>20000</v>
      </c>
      <c r="H69" s="3242"/>
      <c r="J69" s="3241"/>
      <c r="K69" s="3242"/>
      <c r="L69" s="828"/>
      <c r="M69" s="3241"/>
      <c r="N69" s="3242"/>
      <c r="P69" s="3241">
        <v>20000</v>
      </c>
      <c r="Q69" s="3242"/>
      <c r="S69" s="3241"/>
      <c r="T69" s="3242"/>
      <c r="V69" s="853"/>
      <c r="W69" s="3342"/>
      <c r="X69" s="3343"/>
      <c r="AZ69" s="1968"/>
      <c r="BA69" s="1706">
        <v>69</v>
      </c>
    </row>
    <row r="70" spans="1:53" s="144" customFormat="1" ht="12" customHeight="1">
      <c r="B70" s="287" t="s">
        <v>1085</v>
      </c>
      <c r="D70" s="285"/>
      <c r="E70" s="285"/>
      <c r="F70" s="286"/>
      <c r="G70" s="3241">
        <v>131560</v>
      </c>
      <c r="H70" s="3242"/>
      <c r="I70" s="145"/>
      <c r="J70" s="3241"/>
      <c r="K70" s="3242"/>
      <c r="L70" s="828"/>
      <c r="M70" s="3241"/>
      <c r="N70" s="3242"/>
      <c r="P70" s="3241">
        <v>131560</v>
      </c>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6275</v>
      </c>
      <c r="C71" s="3408" t="s">
        <v>6720</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6276</v>
      </c>
      <c r="C72" s="3406" t="s">
        <v>6720</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1376180</v>
      </c>
      <c r="H73" s="3339"/>
      <c r="J73" s="3338">
        <f>SUM(J61:J72)</f>
        <v>0</v>
      </c>
      <c r="K73" s="3339"/>
      <c r="L73" s="283"/>
      <c r="M73" s="3338">
        <f>SUM(M61:M72)</f>
        <v>0</v>
      </c>
      <c r="N73" s="3339"/>
      <c r="P73" s="3338">
        <f>SUM(P61:P72)</f>
        <v>1376180</v>
      </c>
      <c r="Q73" s="3339"/>
      <c r="S73" s="3338">
        <f>SUM(S61:S72)</f>
        <v>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375000</v>
      </c>
      <c r="H75" s="3231"/>
      <c r="J75" s="3230"/>
      <c r="K75" s="3231"/>
      <c r="L75" s="828"/>
      <c r="M75" s="3230"/>
      <c r="N75" s="3231"/>
      <c r="P75" s="3230">
        <v>375000</v>
      </c>
      <c r="Q75" s="3231"/>
      <c r="S75" s="3230"/>
      <c r="T75" s="3231"/>
      <c r="V75" s="849"/>
      <c r="W75" s="3342"/>
      <c r="X75" s="3343"/>
      <c r="AZ75" s="1968"/>
      <c r="BA75" s="1706">
        <v>75</v>
      </c>
    </row>
    <row r="76" spans="1:53" s="144" customFormat="1" ht="12" customHeight="1">
      <c r="B76" s="144" t="s">
        <v>451</v>
      </c>
      <c r="G76" s="3241">
        <v>30000</v>
      </c>
      <c r="H76" s="3242"/>
      <c r="J76" s="3241"/>
      <c r="K76" s="3242"/>
      <c r="L76" s="828"/>
      <c r="M76" s="3241"/>
      <c r="N76" s="3242"/>
      <c r="P76" s="3241">
        <v>30000</v>
      </c>
      <c r="Q76" s="3242"/>
      <c r="S76" s="3241"/>
      <c r="T76" s="3242"/>
      <c r="V76" s="849"/>
      <c r="W76" s="3342"/>
      <c r="X76" s="3343"/>
      <c r="AZ76" s="1968"/>
      <c r="BA76" s="1706">
        <v>76</v>
      </c>
    </row>
    <row r="77" spans="1:53" s="144" customFormat="1" ht="12" customHeight="1">
      <c r="B77" s="144" t="s">
        <v>1061</v>
      </c>
      <c r="D77" s="247"/>
      <c r="E77" s="844"/>
      <c r="F77" s="393"/>
      <c r="G77" s="3241">
        <v>33500</v>
      </c>
      <c r="H77" s="3242"/>
      <c r="J77" s="3241"/>
      <c r="K77" s="3242"/>
      <c r="L77" s="828"/>
      <c r="M77" s="3241"/>
      <c r="N77" s="3242"/>
      <c r="P77" s="3241">
        <v>33500</v>
      </c>
      <c r="Q77" s="3242"/>
      <c r="S77" s="3241"/>
      <c r="T77" s="3242"/>
      <c r="V77" s="849"/>
      <c r="W77" s="3342"/>
      <c r="X77" s="3343"/>
      <c r="AZ77" s="1968"/>
      <c r="BA77" s="1706">
        <v>77</v>
      </c>
    </row>
    <row r="78" spans="1:53" s="144" customFormat="1" ht="12" customHeight="1">
      <c r="B78" s="144" t="s">
        <v>1062</v>
      </c>
      <c r="G78" s="3241">
        <v>9000</v>
      </c>
      <c r="H78" s="3242"/>
      <c r="J78" s="3241"/>
      <c r="K78" s="3242"/>
      <c r="L78" s="828"/>
      <c r="M78" s="3241"/>
      <c r="N78" s="3242"/>
      <c r="P78" s="3241">
        <v>9000</v>
      </c>
      <c r="Q78" s="3242"/>
      <c r="S78" s="3241"/>
      <c r="T78" s="3242"/>
      <c r="V78" s="849"/>
      <c r="W78" s="3342"/>
      <c r="X78" s="3343"/>
      <c r="AZ78" s="1968"/>
      <c r="BA78" s="1706">
        <v>78</v>
      </c>
    </row>
    <row r="79" spans="1:53" s="144" customFormat="1" ht="12" customHeight="1">
      <c r="B79" s="144" t="s">
        <v>1063</v>
      </c>
      <c r="G79" s="3241">
        <v>20000</v>
      </c>
      <c r="H79" s="3242"/>
      <c r="J79" s="3241"/>
      <c r="K79" s="3242"/>
      <c r="L79" s="828"/>
      <c r="M79" s="3241"/>
      <c r="N79" s="3242"/>
      <c r="P79" s="3241">
        <v>20000</v>
      </c>
      <c r="Q79" s="3242"/>
      <c r="S79" s="3241"/>
      <c r="T79" s="3242"/>
      <c r="V79" s="849"/>
      <c r="W79" s="3342"/>
      <c r="X79" s="3343"/>
      <c r="AZ79" s="1968" t="s">
        <v>6377</v>
      </c>
      <c r="BA79" s="1706">
        <v>79</v>
      </c>
    </row>
    <row r="80" spans="1:53" s="144" customFormat="1" ht="12" customHeight="1">
      <c r="B80" s="144" t="s">
        <v>1064</v>
      </c>
      <c r="G80" s="3241">
        <v>10000</v>
      </c>
      <c r="H80" s="3242"/>
      <c r="J80" s="3241"/>
      <c r="K80" s="3242"/>
      <c r="L80" s="828"/>
      <c r="M80" s="3241"/>
      <c r="N80" s="3242"/>
      <c r="P80" s="3241">
        <v>10000</v>
      </c>
      <c r="Q80" s="3242"/>
      <c r="S80" s="3241"/>
      <c r="T80" s="3242"/>
      <c r="V80" s="849"/>
      <c r="W80" s="3342"/>
      <c r="X80" s="3343"/>
      <c r="AZ80" s="1968" t="s">
        <v>6378</v>
      </c>
      <c r="BA80" s="1706">
        <v>80</v>
      </c>
    </row>
    <row r="81" spans="1:53" s="144" customFormat="1" ht="12" customHeight="1">
      <c r="B81" s="144" t="s">
        <v>452</v>
      </c>
      <c r="G81" s="3241">
        <v>30000</v>
      </c>
      <c r="H81" s="3242"/>
      <c r="J81" s="3241"/>
      <c r="K81" s="3242"/>
      <c r="L81" s="828"/>
      <c r="M81" s="3241"/>
      <c r="N81" s="3242"/>
      <c r="P81" s="3241">
        <v>30000</v>
      </c>
      <c r="Q81" s="3242"/>
      <c r="S81" s="3241"/>
      <c r="T81" s="3242"/>
      <c r="V81" s="849"/>
      <c r="W81" s="3342"/>
      <c r="X81" s="3343"/>
      <c r="AZ81" s="744"/>
      <c r="BA81" s="1706">
        <v>81</v>
      </c>
    </row>
    <row r="82" spans="1:53" s="144" customFormat="1" ht="12" customHeight="1">
      <c r="B82" s="144" t="s">
        <v>453</v>
      </c>
      <c r="G82" s="3241">
        <v>150000</v>
      </c>
      <c r="H82" s="3242"/>
      <c r="J82" s="3241"/>
      <c r="K82" s="3242"/>
      <c r="L82" s="828"/>
      <c r="M82" s="3241"/>
      <c r="N82" s="3242"/>
      <c r="P82" s="3241">
        <v>150000</v>
      </c>
      <c r="Q82" s="3242"/>
      <c r="S82" s="3241"/>
      <c r="T82" s="3242"/>
      <c r="V82" s="849"/>
      <c r="W82" s="3342"/>
      <c r="X82" s="3343"/>
      <c r="AZ82" s="1968"/>
      <c r="BA82" s="1706">
        <v>82</v>
      </c>
    </row>
    <row r="83" spans="1:53" s="144" customFormat="1" ht="12" customHeight="1">
      <c r="B83" s="144" t="s">
        <v>1899</v>
      </c>
      <c r="G83" s="3241">
        <v>60000</v>
      </c>
      <c r="H83" s="3242"/>
      <c r="J83" s="3241"/>
      <c r="K83" s="3242"/>
      <c r="L83" s="828"/>
      <c r="M83" s="3241"/>
      <c r="N83" s="3242"/>
      <c r="P83" s="3241">
        <v>60000</v>
      </c>
      <c r="Q83" s="3242"/>
      <c r="S83" s="3241"/>
      <c r="T83" s="3242"/>
      <c r="V83" s="849"/>
      <c r="W83" s="3342"/>
      <c r="X83" s="3343"/>
      <c r="AZ83" s="1968"/>
      <c r="BA83" s="1706">
        <v>83</v>
      </c>
    </row>
    <row r="84" spans="1:53" s="144" customFormat="1" ht="12" customHeight="1">
      <c r="B84" s="144" t="s">
        <v>1201</v>
      </c>
      <c r="G84" s="3241">
        <v>2500</v>
      </c>
      <c r="H84" s="3242"/>
      <c r="J84" s="3241"/>
      <c r="K84" s="3242"/>
      <c r="L84" s="828"/>
      <c r="M84" s="3241"/>
      <c r="N84" s="3242"/>
      <c r="P84" s="3241">
        <v>2500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6277</v>
      </c>
      <c r="C85" s="3377" t="s">
        <v>6720</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720000</v>
      </c>
      <c r="H86" s="3339"/>
      <c r="J86" s="3338">
        <f>SUM(J75:J85)</f>
        <v>0</v>
      </c>
      <c r="K86" s="3339"/>
      <c r="L86" s="283"/>
      <c r="M86" s="3338">
        <f>SUM(M75:M85)</f>
        <v>0</v>
      </c>
      <c r="N86" s="3339"/>
      <c r="P86" s="3338">
        <f>SUM(P75:P85)</f>
        <v>720000</v>
      </c>
      <c r="Q86" s="3339"/>
      <c r="S86" s="3338">
        <f>SUM(S75:S85)</f>
        <v>0</v>
      </c>
      <c r="T86" s="3339"/>
      <c r="V86" s="851">
        <f>SUM(V75:V85)</f>
        <v>0</v>
      </c>
      <c r="W86" s="3351"/>
      <c r="X86" s="3352"/>
      <c r="AZ86" s="1968" t="s">
        <v>6379</v>
      </c>
      <c r="BA86" s="1706">
        <v>86</v>
      </c>
    </row>
    <row r="87" spans="1:53" ht="12" customHeight="1">
      <c r="A87" s="144"/>
      <c r="B87" s="243" t="s">
        <v>1193</v>
      </c>
      <c r="C87" s="144"/>
      <c r="D87" s="690" t="s">
        <v>3228</v>
      </c>
      <c r="E87" s="763">
        <f>G92/'Part V-Revenues &amp; Expenses'!$P$67</f>
        <v>361.4736842105263</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c r="H88" s="3231"/>
      <c r="J88" s="3230"/>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8472</v>
      </c>
      <c r="H90" s="3242"/>
      <c r="I90" s="145"/>
      <c r="J90" s="3241"/>
      <c r="K90" s="3242"/>
      <c r="L90" s="828"/>
      <c r="M90" s="3241"/>
      <c r="N90" s="3242"/>
      <c r="P90" s="3241">
        <v>8472</v>
      </c>
      <c r="Q90" s="3242"/>
      <c r="S90" s="3241"/>
      <c r="T90" s="3242"/>
      <c r="V90" s="849"/>
      <c r="W90" s="3342"/>
      <c r="X90" s="3343"/>
      <c r="AZ90" s="1968"/>
      <c r="BA90" s="1706">
        <v>90</v>
      </c>
    </row>
    <row r="91" spans="1:53" s="144" customFormat="1" ht="12" customHeight="1" thickBot="1">
      <c r="B91" s="144" t="s">
        <v>1197</v>
      </c>
      <c r="D91" s="289" t="s">
        <v>1324</v>
      </c>
      <c r="E91" s="864" t="s">
        <v>2652</v>
      </c>
      <c r="G91" s="3189">
        <v>19000</v>
      </c>
      <c r="H91" s="3190"/>
      <c r="I91" s="145"/>
      <c r="J91" s="3189"/>
      <c r="K91" s="3190"/>
      <c r="L91" s="828"/>
      <c r="M91" s="3189"/>
      <c r="N91" s="3190"/>
      <c r="P91" s="3189">
        <v>19000</v>
      </c>
      <c r="Q91" s="3190"/>
      <c r="S91" s="3189"/>
      <c r="T91" s="3190"/>
      <c r="V91" s="849"/>
      <c r="W91" s="3349"/>
      <c r="X91" s="3350"/>
      <c r="AZ91" s="1968"/>
      <c r="BA91" s="1706">
        <v>91</v>
      </c>
    </row>
    <row r="92" spans="1:53" s="144" customFormat="1" ht="12" customHeight="1" thickTop="1">
      <c r="F92" s="281" t="s">
        <v>184</v>
      </c>
      <c r="G92" s="3338">
        <f>SUM(G88:G91)</f>
        <v>27472</v>
      </c>
      <c r="H92" s="3339"/>
      <c r="J92" s="3338">
        <f>SUM(J88:J91)</f>
        <v>0</v>
      </c>
      <c r="K92" s="3339"/>
      <c r="L92" s="283"/>
      <c r="M92" s="3338">
        <f>SUM(M88:M91)</f>
        <v>0</v>
      </c>
      <c r="N92" s="3339"/>
      <c r="P92" s="3338">
        <f>SUM(P88:P91)</f>
        <v>27472</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30"/>
      <c r="H97" s="3231"/>
      <c r="J97" s="3410"/>
      <c r="K97" s="3410"/>
      <c r="L97" s="828"/>
      <c r="M97" s="3410"/>
      <c r="N97" s="3410"/>
      <c r="P97" s="3410"/>
      <c r="Q97" s="3410"/>
      <c r="S97" s="3230"/>
      <c r="T97" s="3231"/>
      <c r="V97" s="849"/>
      <c r="W97" s="3342"/>
      <c r="X97" s="3343"/>
      <c r="AZ97" s="1968" t="s">
        <v>6381</v>
      </c>
      <c r="BA97" s="1706">
        <v>97</v>
      </c>
    </row>
    <row r="98" spans="1:53" s="144" customFormat="1" ht="12" customHeight="1">
      <c r="B98" s="144" t="s">
        <v>1199</v>
      </c>
      <c r="G98" s="3241"/>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6278</v>
      </c>
      <c r="C102" s="3377" t="s">
        <v>6720</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0</v>
      </c>
      <c r="H103" s="3339"/>
      <c r="J103" s="3410"/>
      <c r="K103" s="3410"/>
      <c r="L103" s="283"/>
      <c r="M103" s="3410"/>
      <c r="N103" s="3410"/>
      <c r="P103" s="3410"/>
      <c r="Q103" s="3410"/>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6702</v>
      </c>
      <c r="AA105" s="236" t="s">
        <v>6644</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76</v>
      </c>
      <c r="AZ106" s="1968" t="s">
        <v>6382</v>
      </c>
      <c r="BA106" s="1706">
        <v>106</v>
      </c>
    </row>
    <row r="107" spans="1:53" s="144" customFormat="1" ht="12.6" customHeight="1">
      <c r="B107" s="144" t="s">
        <v>3317</v>
      </c>
      <c r="G107" s="3241">
        <v>4500</v>
      </c>
      <c r="H107" s="3242"/>
      <c r="J107" s="283"/>
      <c r="K107" s="283"/>
      <c r="L107" s="290"/>
      <c r="M107" s="283"/>
      <c r="N107" s="283"/>
      <c r="P107" s="283"/>
      <c r="Q107" s="283"/>
      <c r="S107" s="3241">
        <v>4500</v>
      </c>
      <c r="T107" s="3242"/>
      <c r="V107" s="849"/>
      <c r="W107" s="3342"/>
      <c r="X107" s="3343"/>
      <c r="Y107" s="3331"/>
      <c r="Z107" s="301"/>
      <c r="AA107" s="225" t="s">
        <v>6707</v>
      </c>
      <c r="AB107" s="147"/>
      <c r="AC107" s="147"/>
      <c r="AD107" s="147"/>
      <c r="AF107" s="1936" t="s">
        <v>6708</v>
      </c>
      <c r="AZ107" s="1968" t="s">
        <v>6383</v>
      </c>
      <c r="BA107" s="1706">
        <v>107</v>
      </c>
    </row>
    <row r="108" spans="1:53" s="144" customFormat="1" ht="12.6" customHeight="1">
      <c r="B108" s="144" t="s">
        <v>486</v>
      </c>
      <c r="E108" s="3411">
        <f>ROUNDUP('DCA Underwriting Assumptions'!$Q$56*J191,0)</f>
        <v>98000</v>
      </c>
      <c r="F108" s="3412"/>
      <c r="G108" s="3241">
        <v>98000</v>
      </c>
      <c r="H108" s="3242"/>
      <c r="J108" s="764" t="str">
        <f>IF(E108&gt;G108,"WARNING!  LIHTC Allocation Fee proposed is below minimum required.","")</f>
        <v/>
      </c>
      <c r="K108" s="283"/>
      <c r="L108" s="828"/>
      <c r="M108" s="283"/>
      <c r="N108" s="283"/>
      <c r="P108" s="283"/>
      <c r="Q108" s="283"/>
      <c r="S108" s="3241">
        <v>98000</v>
      </c>
      <c r="T108" s="3242"/>
      <c r="V108" s="849"/>
      <c r="W108" s="3342"/>
      <c r="X108" s="3343"/>
      <c r="Y108" s="3331"/>
      <c r="Z108" s="301"/>
      <c r="AA108" s="147" t="s">
        <v>6703</v>
      </c>
      <c r="AB108" s="147"/>
      <c r="AC108" s="147"/>
      <c r="AD108" s="234">
        <f>'Part V-Revenues &amp; Expenses'!P136+'Part V-Revenues &amp; Expenses'!P137</f>
        <v>0</v>
      </c>
      <c r="AF108" s="1934">
        <f>AD108*'DCA Underwriting Assumptions'!$Q$63</f>
        <v>0</v>
      </c>
      <c r="AZ108" s="1968" t="s">
        <v>6384</v>
      </c>
      <c r="BA108" s="1706">
        <v>108</v>
      </c>
    </row>
    <row r="109" spans="1:53" s="144" customFormat="1" ht="12.6" customHeight="1">
      <c r="B109" s="144" t="s">
        <v>702</v>
      </c>
      <c r="E109" s="3411">
        <f>AF111+AF115</f>
        <v>60800</v>
      </c>
      <c r="F109" s="3412"/>
      <c r="G109" s="3241">
        <v>60800</v>
      </c>
      <c r="H109" s="3242"/>
      <c r="I109" s="3346" t="str">
        <f>IF(E109&gt;G109,"WARNING!  LIHTC Compliance Fee proposed is below minimum required.","")</f>
        <v/>
      </c>
      <c r="J109" s="3347"/>
      <c r="K109" s="3347"/>
      <c r="L109" s="3347"/>
      <c r="M109" s="3347"/>
      <c r="N109" s="3347"/>
      <c r="O109" s="3347"/>
      <c r="P109" s="3347"/>
      <c r="Q109" s="3347"/>
      <c r="R109" s="3348"/>
      <c r="S109" s="3241">
        <v>60800</v>
      </c>
      <c r="T109" s="3242"/>
      <c r="V109" s="849"/>
      <c r="W109" s="3342"/>
      <c r="X109" s="3343"/>
      <c r="Y109" s="3331"/>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3448</v>
      </c>
      <c r="F110" s="969"/>
      <c r="G110" s="3241">
        <v>10000</v>
      </c>
      <c r="H110" s="3242"/>
      <c r="I110" s="3346"/>
      <c r="J110" s="3347"/>
      <c r="K110" s="3347"/>
      <c r="L110" s="3347"/>
      <c r="M110" s="3347"/>
      <c r="N110" s="3347"/>
      <c r="O110" s="3347"/>
      <c r="P110" s="3347"/>
      <c r="Q110" s="3347"/>
      <c r="R110" s="3348"/>
      <c r="S110" s="3241">
        <v>10000</v>
      </c>
      <c r="T110" s="3242"/>
      <c r="V110" s="849"/>
      <c r="W110" s="3342"/>
      <c r="X110" s="3343"/>
      <c r="Y110" s="3331"/>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6274</v>
      </c>
      <c r="C112" s="3408" t="s">
        <v>6720</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6274</v>
      </c>
      <c r="C113" s="3406" t="s">
        <v>6720</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76</v>
      </c>
      <c r="AF113" s="1934">
        <f>IF($AD$105="Income Averaging",AD113*'DCA Underwriting Assumptions'!$Q$61,AD113*'DCA Underwriting Assumptions'!$Q$60)</f>
        <v>60800</v>
      </c>
      <c r="AZ113" s="1968" t="s">
        <v>6385</v>
      </c>
      <c r="BA113" s="1706">
        <v>113</v>
      </c>
    </row>
    <row r="114" spans="1:53" s="144" customFormat="1" ht="12.6" customHeight="1" thickTop="1">
      <c r="F114" s="281" t="s">
        <v>184</v>
      </c>
      <c r="G114" s="3338">
        <f>SUM(G105:G113)</f>
        <v>191300</v>
      </c>
      <c r="H114" s="3339"/>
      <c r="J114" s="283"/>
      <c r="K114" s="283"/>
      <c r="L114" s="828"/>
      <c r="M114" s="283"/>
      <c r="N114" s="283"/>
      <c r="P114" s="283"/>
      <c r="Q114" s="283"/>
      <c r="S114" s="3338">
        <f>SUM(S105:S113)</f>
        <v>191300</v>
      </c>
      <c r="T114" s="3339"/>
      <c r="V114" s="851">
        <f>SUM(V105:V113)</f>
        <v>0</v>
      </c>
      <c r="W114" s="3465"/>
      <c r="X114" s="3466"/>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76</v>
      </c>
      <c r="AF115" s="1935">
        <f>SUM(AF113:AF114)</f>
        <v>60800</v>
      </c>
      <c r="AZ115" s="1959"/>
      <c r="BA115" s="1706">
        <v>115</v>
      </c>
    </row>
    <row r="116" spans="1:53" s="144" customFormat="1" ht="12.6" customHeight="1">
      <c r="B116" s="144" t="s">
        <v>267</v>
      </c>
      <c r="G116" s="3230">
        <v>2000</v>
      </c>
      <c r="H116" s="3231"/>
      <c r="J116" s="3410"/>
      <c r="K116" s="3410"/>
      <c r="L116" s="828"/>
      <c r="M116" s="3410"/>
      <c r="N116" s="3410"/>
      <c r="P116" s="3410"/>
      <c r="Q116" s="3410"/>
      <c r="S116" s="3230">
        <v>2000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v>60000</v>
      </c>
      <c r="H118" s="3242"/>
      <c r="J118" s="3410"/>
      <c r="K118" s="3410"/>
      <c r="L118" s="828"/>
      <c r="M118" s="3410"/>
      <c r="N118" s="3410"/>
      <c r="P118" s="3410"/>
      <c r="Q118" s="3410"/>
      <c r="S118" s="3241">
        <v>60000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6274</v>
      </c>
      <c r="C119" s="3377" t="s">
        <v>6720</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62000</v>
      </c>
      <c r="H120" s="3339"/>
      <c r="J120" s="3410"/>
      <c r="K120" s="3410"/>
      <c r="L120" s="828"/>
      <c r="M120" s="3410"/>
      <c r="N120" s="3410"/>
      <c r="P120" s="3410"/>
      <c r="Q120" s="3410"/>
      <c r="S120" s="3338">
        <f>SUM(S116:S119)</f>
        <v>62000</v>
      </c>
      <c r="T120" s="3339"/>
      <c r="V120" s="851">
        <f>SUM(V116:V119)</f>
        <v>0</v>
      </c>
      <c r="W120" s="3351"/>
      <c r="X120" s="3352"/>
      <c r="AC120" s="3362" t="s">
        <v>3921</v>
      </c>
      <c r="AD120" s="3362" t="s">
        <v>3922</v>
      </c>
      <c r="AE120" s="3376" t="s">
        <v>3925</v>
      </c>
      <c r="AF120" s="3368" t="s">
        <v>3923</v>
      </c>
      <c r="AG120" s="3376" t="s">
        <v>3914</v>
      </c>
      <c r="AH120" s="3488" t="s">
        <v>6741</v>
      </c>
      <c r="AI120" s="3488"/>
      <c r="AZ120" s="1959"/>
      <c r="BA120" s="1706">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363"/>
      <c r="AD121" s="3363"/>
      <c r="AE121" s="3170"/>
      <c r="AF121" s="3369"/>
      <c r="AG121" s="3376"/>
      <c r="AH121" s="3488"/>
      <c r="AI121" s="3488"/>
      <c r="AK121" s="44"/>
      <c r="AZ121" s="1959" t="s">
        <v>6387</v>
      </c>
      <c r="BA121" s="1706">
        <v>121</v>
      </c>
    </row>
    <row r="122" spans="1:53" s="144" customFormat="1" ht="12.6" customHeight="1">
      <c r="B122" s="144" t="s">
        <v>1724</v>
      </c>
      <c r="F122" s="323">
        <f>IF($G$127=0,0,G122/$G$127)</f>
        <v>0.2</v>
      </c>
      <c r="G122" s="3413">
        <v>382800</v>
      </c>
      <c r="H122" s="3413"/>
      <c r="J122" s="3414"/>
      <c r="K122" s="3415"/>
      <c r="L122" s="282"/>
      <c r="M122" s="3414"/>
      <c r="N122" s="3415"/>
      <c r="P122" s="3414">
        <v>382800</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1914000</v>
      </c>
      <c r="AG122" s="3497">
        <f>'DCA Underwriting Assumptions'!$Q$74</f>
        <v>2000000</v>
      </c>
      <c r="AH122" s="3489">
        <f>MIN(AF122,AG122)</f>
        <v>1914000</v>
      </c>
      <c r="AI122" s="3490"/>
      <c r="AZ122" s="1959"/>
      <c r="BA122" s="1706">
        <v>122</v>
      </c>
    </row>
    <row r="123" spans="1:53" s="144" customFormat="1" ht="12.6" customHeight="1">
      <c r="B123" s="144" t="s">
        <v>3410</v>
      </c>
      <c r="F123" s="949">
        <v>47850</v>
      </c>
      <c r="G123" s="241" t="s">
        <v>6721</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99000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1914000</v>
      </c>
      <c r="AG125" s="3370">
        <f>'DCA Underwriting Assumptions'!$Q$75</f>
        <v>3500000</v>
      </c>
      <c r="AH125" s="3489">
        <f>MIN(AF125,AG125)</f>
        <v>1914000</v>
      </c>
      <c r="AI125" s="3490"/>
      <c r="AZ125" s="1959"/>
      <c r="BA125" s="1706">
        <v>125</v>
      </c>
    </row>
    <row r="126" spans="1:53" s="144" customFormat="1" ht="12.6" customHeight="1" thickBot="1">
      <c r="B126" s="144" t="s">
        <v>1717</v>
      </c>
      <c r="F126" s="323">
        <f>IF($G$127=0,0,G126/$G$127)</f>
        <v>0.8</v>
      </c>
      <c r="G126" s="3189">
        <v>1531200</v>
      </c>
      <c r="H126" s="3190"/>
      <c r="J126" s="3189"/>
      <c r="K126" s="3190"/>
      <c r="L126" s="828"/>
      <c r="M126" s="3189"/>
      <c r="N126" s="3190"/>
      <c r="P126" s="3189">
        <v>1531200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3920</v>
      </c>
      <c r="E127" s="1954">
        <f>IF(AF122+AF125=0,"Fill in Rent Chart!",IF(F121="9%",AH122,IF(F121="4%",AH125,"Select App Type!")))</f>
        <v>1914000</v>
      </c>
      <c r="F127" s="281" t="s">
        <v>184</v>
      </c>
      <c r="G127" s="3338">
        <f>SUM(G122:G126)</f>
        <v>1914000</v>
      </c>
      <c r="H127" s="3416"/>
      <c r="J127" s="3338">
        <f>SUM(J122:J126)</f>
        <v>0</v>
      </c>
      <c r="K127" s="3416"/>
      <c r="L127" s="828"/>
      <c r="M127" s="3338">
        <f>SUM(M122:M126)</f>
        <v>0</v>
      </c>
      <c r="N127" s="3416"/>
      <c r="P127" s="3338">
        <f>SUM(P122:P126)</f>
        <v>1914000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99000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 customHeight="1">
      <c r="B129" s="144" t="s">
        <v>241</v>
      </c>
      <c r="G129" s="3230"/>
      <c r="H129" s="3231"/>
      <c r="J129" s="291"/>
      <c r="K129" s="291"/>
      <c r="L129" s="291"/>
      <c r="M129" s="291"/>
      <c r="N129" s="291"/>
      <c r="P129" s="291"/>
      <c r="Q129" s="291"/>
      <c r="S129" s="3230"/>
      <c r="T129" s="3231"/>
      <c r="V129" s="849"/>
      <c r="W129" s="3342"/>
      <c r="X129" s="3343"/>
      <c r="Z129" s="1306"/>
      <c r="AB129" s="44"/>
      <c r="AC129"/>
      <c r="AD129"/>
      <c r="AF129"/>
      <c r="AG129"/>
      <c r="AH129"/>
      <c r="AI129"/>
      <c r="AJ129"/>
      <c r="AK129"/>
      <c r="AZ129" s="1968" t="s">
        <v>6389</v>
      </c>
      <c r="BA129" s="1706">
        <v>129</v>
      </c>
    </row>
    <row r="130" spans="1:53" s="144" customFormat="1" ht="12.6" customHeight="1">
      <c r="B130" s="144" t="s">
        <v>1436</v>
      </c>
      <c r="F130" s="365">
        <f>+'Part V-Revenues &amp; Expenses'!$Q$228*('DCA Underwriting Assumptions'!$Q$89/12)</f>
        <v>104591.5</v>
      </c>
      <c r="G130" s="3241">
        <v>104600</v>
      </c>
      <c r="H130" s="3242"/>
      <c r="J130" s="765" t="str">
        <f>IF(E130&gt;G130,"WARNING! Rent-Up Reserves proposed is below minimum - add comment.","")</f>
        <v/>
      </c>
      <c r="K130" s="765"/>
      <c r="L130" s="828"/>
      <c r="M130" s="750"/>
      <c r="N130" s="750"/>
      <c r="P130" s="750"/>
      <c r="Q130" s="750"/>
      <c r="S130" s="3241">
        <v>104600</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209183</v>
      </c>
      <c r="G131" s="3241">
        <v>209200</v>
      </c>
      <c r="H131" s="3242"/>
      <c r="J131" s="765" t="str">
        <f>IF(E131&gt;G131,"WARNING! ODR proposed is below minimum - add comment.","")</f>
        <v/>
      </c>
      <c r="K131" s="290"/>
      <c r="L131" s="290"/>
      <c r="M131" s="290"/>
      <c r="N131" s="290"/>
      <c r="P131" s="290"/>
      <c r="Q131" s="290"/>
      <c r="S131" s="3241">
        <v>209200</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6390</v>
      </c>
      <c r="BA132" s="1706">
        <v>132</v>
      </c>
    </row>
    <row r="133" spans="1:53" s="144" customFormat="1" ht="12.6" customHeight="1">
      <c r="B133" s="144" t="s">
        <v>1171</v>
      </c>
      <c r="E133" s="658" t="s">
        <v>3137</v>
      </c>
      <c r="F133" s="365">
        <f>IF('Part V-Revenues &amp; Expenses'!$P$67=0,0,G133/'Part V-Revenues &amp; Expenses'!$P$67)</f>
        <v>500</v>
      </c>
      <c r="G133" s="3241">
        <v>38000</v>
      </c>
      <c r="H133" s="3242"/>
      <c r="J133" s="3230"/>
      <c r="K133" s="3231"/>
      <c r="L133" s="828"/>
      <c r="M133" s="3230"/>
      <c r="N133" s="3231"/>
      <c r="P133" s="3230"/>
      <c r="Q133" s="3231"/>
      <c r="S133" s="3241">
        <v>38000</v>
      </c>
      <c r="T133" s="3242"/>
      <c r="V133" s="849"/>
      <c r="W133" s="3342"/>
      <c r="X133" s="3343"/>
      <c r="AZ133" s="1968" t="s">
        <v>6391</v>
      </c>
      <c r="BA133" s="1706">
        <v>133</v>
      </c>
    </row>
    <row r="134" spans="1:53" s="144" customFormat="1" ht="12.6" customHeight="1" thickBot="1">
      <c r="A134" s="303" t="str">
        <f>IF(AND(G134&gt;0,OR(C134="",C134="&lt;Enter detailed description here; use Comments section if needed&gt;")),"X","")</f>
        <v/>
      </c>
      <c r="B134" s="147" t="s">
        <v>6274</v>
      </c>
      <c r="C134" s="3377" t="s">
        <v>6720</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351800</v>
      </c>
      <c r="H135" s="3339"/>
      <c r="J135" s="3338">
        <f>SUM(J133:J134)</f>
        <v>0</v>
      </c>
      <c r="K135" s="3339"/>
      <c r="L135" s="828"/>
      <c r="M135" s="3338">
        <f>SUM(M133:M134)</f>
        <v>0</v>
      </c>
      <c r="N135" s="3339"/>
      <c r="P135" s="3338">
        <f>SUM(P133:P134)</f>
        <v>0</v>
      </c>
      <c r="Q135" s="3339"/>
      <c r="S135" s="3338">
        <f>SUM(S129:S134)</f>
        <v>351800</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6274</v>
      </c>
      <c r="C143" s="3377" t="s">
        <v>6720</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486">
        <f>G18+G24+G28+G36+G41+G46+G55+G73+G86+G92+G103+G114+G120+G127+G135+G144</f>
        <v>26653520</v>
      </c>
      <c r="H146" s="3487"/>
      <c r="J146" s="3486">
        <f>J18+J24+J28+J36+J41+J46+J55+J73+J86+J92+J103+J114+J120+J127+J135+J144</f>
        <v>0</v>
      </c>
      <c r="K146" s="3487"/>
      <c r="M146" s="3486">
        <f>M18+M24+M28+M36+M41+M46+M55+M73+M86+M92+M103+M114+M120+M127+M135+M144</f>
        <v>0</v>
      </c>
      <c r="N146" s="3487"/>
      <c r="P146" s="3486">
        <f>P18+P24+P28+P36+P41+P46+P55+P73+P86+P92+P103+P114+P120+P127+P135+P144</f>
        <v>26048420</v>
      </c>
      <c r="Q146" s="3487"/>
      <c r="S146" s="3486">
        <f>S18+S24+S28+S36+S41+S46+S55+S73+S86+S92+S103+S114+S120+S127+S135+S144</f>
        <v>605100</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350704.21052631579</v>
      </c>
      <c r="E148" s="3483"/>
      <c r="F148" s="390" t="s">
        <v>2487</v>
      </c>
      <c r="G148" s="3484">
        <f>IF('Part V-Revenues &amp; Expenses'!$K$175=0,0,G146/'Part V-Revenues &amp; Expenses'!$K$175)</f>
        <v>337.30093647177932</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v>10211684</v>
      </c>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10211684</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0</v>
      </c>
      <c r="N162" s="3337"/>
      <c r="P162" s="3334">
        <f>P146</f>
        <v>26048420</v>
      </c>
      <c r="Q162" s="3335"/>
      <c r="R162" s="3469" t="s">
        <v>3772</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10211684</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0</v>
      </c>
      <c r="N164" s="3354"/>
      <c r="P164" s="3355">
        <f>P162-P163</f>
        <v>15836736</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7105</v>
      </c>
      <c r="I165" s="3420"/>
      <c r="J165" s="3421"/>
      <c r="K165" s="3422"/>
      <c r="M165" s="3423"/>
      <c r="N165" s="3423"/>
      <c r="P165" s="3421">
        <v>1.3</v>
      </c>
      <c r="Q165" s="3422"/>
      <c r="R165" s="3470" t="s">
        <v>3204</v>
      </c>
      <c r="S165" s="3471"/>
      <c r="T165" s="3472"/>
      <c r="U165" s="1170"/>
      <c r="V165" s="849"/>
      <c r="W165" s="3342"/>
      <c r="X165" s="3343"/>
      <c r="AZ165" s="1968"/>
      <c r="BA165" s="1706">
        <v>165</v>
      </c>
    </row>
    <row r="166" spans="1:53" s="144" customFormat="1" ht="14.1" customHeight="1">
      <c r="B166" s="144" t="s">
        <v>1903</v>
      </c>
      <c r="J166" s="3355">
        <f>J164*J165</f>
        <v>0</v>
      </c>
      <c r="K166" s="3356"/>
      <c r="M166" s="3334">
        <f>+M164</f>
        <v>0</v>
      </c>
      <c r="N166" s="3335"/>
      <c r="P166" s="3355">
        <f>P164*P165</f>
        <v>20587756.800000001</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0.73684210526315785</v>
      </c>
      <c r="K167" s="3425"/>
      <c r="M167" s="3424">
        <f>MIN('Part V-Revenues &amp; Expenses'!$P$63/'Part V-Revenues &amp; Expenses'!$P$65,'Part V-Revenues &amp; Expenses'!$P$164/'Part V-Revenues &amp; Expenses'!$P$166)</f>
        <v>0.73684210526315785</v>
      </c>
      <c r="N167" s="3425"/>
      <c r="P167" s="3424">
        <f>MIN('Part V-Revenues &amp; Expenses'!$P$63/'Part V-Revenues &amp; Expenses'!$P$65,'Part V-Revenues &amp; Expenses'!$P$164/'Part V-Revenues &amp; Expenses'!$P$166)</f>
        <v>0.73684210526315785</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0</v>
      </c>
      <c r="N168" s="3356"/>
      <c r="P168" s="3355">
        <f>P166*P167</f>
        <v>15169926.063157894</v>
      </c>
      <c r="Q168" s="3356"/>
      <c r="V168" s="849"/>
      <c r="W168" s="3342"/>
      <c r="X168" s="3343"/>
      <c r="AZ168" s="1968"/>
      <c r="BA168" s="1706">
        <v>168</v>
      </c>
    </row>
    <row r="169" spans="1:53" s="144" customFormat="1" ht="14.1" customHeight="1">
      <c r="B169" s="144" t="s">
        <v>1896</v>
      </c>
      <c r="J169" s="3421"/>
      <c r="K169" s="3422"/>
      <c r="M169" s="3421"/>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0</v>
      </c>
      <c r="N170" s="3427"/>
      <c r="P170" s="3426">
        <f>P168*P169</f>
        <v>1365293.3456842103</v>
      </c>
      <c r="Q170" s="3427"/>
      <c r="V170" s="856"/>
      <c r="W170" s="3349"/>
      <c r="X170" s="3350"/>
      <c r="AZ170" s="1968"/>
      <c r="BA170" s="1706">
        <v>170</v>
      </c>
    </row>
    <row r="171" spans="1:53" s="144" customFormat="1" ht="14.1" customHeight="1" thickBot="1">
      <c r="B171" s="243" t="s">
        <v>1339</v>
      </c>
      <c r="J171" s="3314">
        <f>ROUNDDOWN(J170+M170+P170,0)</f>
        <v>1365293</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334">
        <f>G146</f>
        <v>26653520</v>
      </c>
      <c r="K176" s="3452"/>
      <c r="L176" s="3335"/>
      <c r="N176" s="3431" t="s">
        <v>6715</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8315415</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18338105</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2649</v>
      </c>
      <c r="V179" s="849"/>
      <c r="W179" s="3342"/>
      <c r="X179" s="3343"/>
      <c r="AZ179" s="1968"/>
      <c r="BA179" s="1706">
        <v>179</v>
      </c>
    </row>
    <row r="180" spans="1:53" s="144" customFormat="1" ht="14.1" customHeight="1">
      <c r="B180" s="144" t="s">
        <v>1210</v>
      </c>
      <c r="J180" s="3353">
        <f>J178/10</f>
        <v>1833810.5</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1.4300000000000002</v>
      </c>
      <c r="K182" s="3441"/>
      <c r="L182" s="3442"/>
      <c r="M182" s="248" t="s">
        <v>1212</v>
      </c>
      <c r="N182" s="3443">
        <v>0.87</v>
      </c>
      <c r="O182" s="3444"/>
      <c r="P182" s="248" t="s">
        <v>570</v>
      </c>
      <c r="Q182" s="3443">
        <v>0.56000000000000005</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1282384</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45">
        <v>1225000</v>
      </c>
      <c r="K187" s="3446"/>
      <c r="L187" s="3447"/>
      <c r="Q187" s="147" t="s">
        <v>6246</v>
      </c>
      <c r="R187" s="147"/>
      <c r="S187" s="3332" t="str">
        <f>'Part VIII Scoring Criteria'!$J$36</f>
        <v>Other Metro</v>
      </c>
      <c r="T187" s="3333"/>
      <c r="U187" s="1622" t="e">
        <f>IF(OR(S187="Atlanta Metro", "Other Metro"), "Metro", IF(S187="Rural","Rural",""))</f>
        <v>#VALUE!</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4072</v>
      </c>
      <c r="J189" s="3445">
        <v>1225000</v>
      </c>
      <c r="K189" s="3446"/>
      <c r="L189" s="3447"/>
      <c r="M189" s="3430" t="str">
        <f>IF(J187=0,"",IF(J189&gt;J187,"Request can't exceed Maximum - REVISE (Try Round Down)!",""))</f>
        <v/>
      </c>
      <c r="N189" s="3430"/>
      <c r="O189" s="3430"/>
      <c r="P189" s="3430"/>
      <c r="Q189" s="241" t="s">
        <v>6542</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4073</v>
      </c>
      <c r="D191" s="145"/>
      <c r="E191" s="145"/>
      <c r="F191" s="246"/>
      <c r="J191" s="3460">
        <f>IF(J189="",0,+MIN(J187,J189))</f>
        <v>1225000</v>
      </c>
      <c r="K191" s="3461"/>
      <c r="L191" s="3462"/>
      <c r="M191" s="3430"/>
      <c r="N191" s="3430"/>
      <c r="O191" s="3430"/>
      <c r="P191" s="3430"/>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7110</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23" stopIfTrue="1" operator="equal">
      <formula>"""Exceeds the limit! Re-check amounts."""</formula>
    </cfRule>
  </conditionalFormatting>
  <conditionalFormatting sqref="G38">
    <cfRule type="cellIs" dxfId="190" priority="24" stopIfTrue="1" operator="greaterThan">
      <formula>$E38</formula>
    </cfRule>
  </conditionalFormatting>
  <conditionalFormatting sqref="G39">
    <cfRule type="cellIs" dxfId="189" priority="25" stopIfTrue="1" operator="greaterThan">
      <formula>$E$39</formula>
    </cfRule>
  </conditionalFormatting>
  <conditionalFormatting sqref="G40">
    <cfRule type="cellIs" dxfId="188" priority="26" stopIfTrue="1" operator="greaterThan">
      <formula>$E$40</formula>
    </cfRule>
  </conditionalFormatting>
  <conditionalFormatting sqref="G55:H55">
    <cfRule type="cellIs" dxfId="187" priority="14" operator="greaterThan">
      <formula>$E$55</formula>
    </cfRule>
  </conditionalFormatting>
  <conditionalFormatting sqref="J38:K38 M38:N38">
    <cfRule type="cellIs" dxfId="186" priority="21" operator="greaterThan">
      <formula>$G$38</formula>
    </cfRule>
  </conditionalFormatting>
  <conditionalFormatting sqref="J39:K40 M39:N40">
    <cfRule type="cellIs" dxfId="185" priority="20" operator="greaterThan">
      <formula>$G$40</formula>
    </cfRule>
  </conditionalFormatting>
  <conditionalFormatting sqref="J191:L191">
    <cfRule type="cellIs" dxfId="184" priority="22" stopIfTrue="1" operator="greaterThan">
      <formula>$J$187</formula>
    </cfRule>
  </conditionalFormatting>
  <conditionalFormatting sqref="O174:V174">
    <cfRule type="cellIs" dxfId="183" priority="18" operator="equal">
      <formula>"QAP Cost Limit TDC exceeds Project Cost Limit!"</formula>
    </cfRule>
  </conditionalFormatting>
  <conditionalFormatting sqref="P55:Q55">
    <cfRule type="cellIs" dxfId="182" priority="4" operator="greaterThan">
      <formula>$E$55</formula>
    </cfRule>
  </conditionalFormatting>
  <conditionalFormatting sqref="P38">
    <cfRule type="cellIs" dxfId="181" priority="1" stopIfTrue="1" operator="greaterThan">
      <formula>$E38</formula>
    </cfRule>
  </conditionalFormatting>
  <conditionalFormatting sqref="P39">
    <cfRule type="cellIs" dxfId="180" priority="2" stopIfTrue="1" operator="greaterThan">
      <formula>$E$39</formula>
    </cfRule>
  </conditionalFormatting>
  <conditionalFormatting sqref="P40">
    <cfRule type="cellIs" dxfId="179" priority="3" stopIfTrue="1" operator="greaterThan">
      <formula>$E$40</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2"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Freedom's Path Augusta III  -  Augusta  -  Richmond,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Historic Consultant and Fees</v>
      </c>
      <c r="B9" s="3511"/>
      <c r="C9" s="3511"/>
      <c r="D9" s="3512"/>
      <c r="F9" s="3516" t="s">
        <v>7106</v>
      </c>
      <c r="G9" s="726"/>
      <c r="H9" s="3516" t="s">
        <v>7046</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60000</v>
      </c>
      <c r="C12" s="735" t="s">
        <v>1665</v>
      </c>
      <c r="D12" s="734">
        <f>'Part III-A-Uses of Funds'!$J$15+'Part III-A-Uses of Funds'!$M$15+'Part III-A-Uses of Funds'!$P$15</f>
        <v>60000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zoomScaleNormal="100" workbookViewId="0">
      <selection activeCell="R13" sqref="R1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Freedom's Path Augusta III, Augusta, Richmond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8" t="str">
        <f>'Part I-Project Identification'!$A$6</f>
        <v>April 2023</v>
      </c>
      <c r="C3" s="3538"/>
      <c r="D3" s="3538"/>
      <c r="E3" s="3538"/>
      <c r="F3" s="4" t="s">
        <v>6736</v>
      </c>
      <c r="I3" s="3539" t="str">
        <f>VLOOKUP('Part I-Project Identification'!$J$26,'DCA Underwriting Assumptions'!$G$141:$H$300,2)</f>
        <v>Local PHA</v>
      </c>
      <c r="J3" s="3540"/>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7040</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44805</v>
      </c>
      <c r="J8" s="3535"/>
      <c r="K8" s="5" t="s">
        <v>505</v>
      </c>
      <c r="L8" s="3536" t="s">
        <v>7049</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7" t="s">
        <v>567</v>
      </c>
      <c r="G10" s="3537"/>
      <c r="I10" s="3537" t="s">
        <v>193</v>
      </c>
      <c r="J10" s="3537"/>
      <c r="K10" s="3537"/>
      <c r="L10" s="3537"/>
      <c r="M10" s="3537"/>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1491</v>
      </c>
      <c r="E12" s="3528"/>
      <c r="F12" s="207"/>
      <c r="G12" s="207" t="s">
        <v>416</v>
      </c>
      <c r="H12" s="804"/>
      <c r="I12" s="1266"/>
      <c r="J12" s="1266"/>
      <c r="K12" s="1266"/>
      <c r="L12" s="1266"/>
      <c r="M12" s="1266"/>
      <c r="O12" s="839"/>
      <c r="P12" s="839"/>
      <c r="Q12" s="839"/>
      <c r="R12" s="839"/>
      <c r="S12" s="839"/>
      <c r="T12" s="839"/>
      <c r="U12" s="839"/>
    </row>
    <row r="13" spans="1:25" s="6" customFormat="1" ht="12" customHeight="1">
      <c r="B13" s="1273" t="s">
        <v>1492</v>
      </c>
      <c r="C13" s="1274"/>
      <c r="D13" s="3548" t="s">
        <v>1491</v>
      </c>
      <c r="E13" s="3549"/>
      <c r="F13" s="208"/>
      <c r="G13" s="208" t="s">
        <v>416</v>
      </c>
      <c r="H13" s="803"/>
      <c r="I13" s="1267"/>
      <c r="J13" s="1267"/>
      <c r="K13" s="1267"/>
      <c r="L13" s="1268"/>
      <c r="M13" s="1268"/>
      <c r="O13" s="3541" t="s">
        <v>3275</v>
      </c>
      <c r="P13" s="3541"/>
      <c r="Q13" s="3541"/>
    </row>
    <row r="14" spans="1:25" s="6" customFormat="1" ht="12" customHeight="1">
      <c r="B14" s="1275" t="s">
        <v>1493</v>
      </c>
      <c r="C14" s="1276"/>
      <c r="D14" s="3548" t="s">
        <v>1491</v>
      </c>
      <c r="E14" s="3549"/>
      <c r="F14" s="208"/>
      <c r="G14" s="208" t="s">
        <v>416</v>
      </c>
      <c r="H14" s="203"/>
      <c r="I14" s="1267"/>
      <c r="J14" s="1267"/>
      <c r="K14" s="1267"/>
      <c r="L14" s="1268"/>
      <c r="M14" s="1268"/>
      <c r="O14" s="3541"/>
      <c r="P14" s="3541"/>
      <c r="Q14" s="3541"/>
    </row>
    <row r="15" spans="1:25" s="6" customFormat="1" ht="12" customHeight="1">
      <c r="B15" s="1277" t="s">
        <v>440</v>
      </c>
      <c r="C15" s="1278"/>
      <c r="D15" s="1277" t="s">
        <v>1491</v>
      </c>
      <c r="E15" s="204"/>
      <c r="F15" s="208"/>
      <c r="G15" s="208" t="s">
        <v>416</v>
      </c>
      <c r="H15" s="802"/>
      <c r="I15" s="1267"/>
      <c r="J15" s="1267"/>
      <c r="K15" s="1267"/>
      <c r="L15" s="1268"/>
      <c r="M15" s="1268"/>
      <c r="O15" s="3541"/>
      <c r="P15" s="3541"/>
      <c r="Q15" s="3541"/>
    </row>
    <row r="16" spans="1:25" s="6" customFormat="1" ht="12" customHeight="1">
      <c r="B16" s="1279" t="s">
        <v>3269</v>
      </c>
      <c r="C16" s="1274"/>
      <c r="D16" s="1273" t="s">
        <v>1491</v>
      </c>
      <c r="E16" s="801"/>
      <c r="F16" s="208"/>
      <c r="G16" s="208" t="s">
        <v>416</v>
      </c>
      <c r="H16" s="803"/>
      <c r="I16" s="1267"/>
      <c r="J16" s="1267"/>
      <c r="K16" s="1267"/>
      <c r="L16" s="1268"/>
      <c r="M16" s="1268"/>
      <c r="O16" s="3541"/>
      <c r="P16" s="3541"/>
      <c r="Q16" s="3541"/>
    </row>
    <row r="17" spans="1:25" s="6" customFormat="1" ht="12" customHeight="1">
      <c r="B17" s="1279" t="s">
        <v>3270</v>
      </c>
      <c r="C17" s="1274"/>
      <c r="D17" s="1273" t="s">
        <v>1491</v>
      </c>
      <c r="E17" s="801"/>
      <c r="F17" s="208"/>
      <c r="G17" s="208" t="s">
        <v>416</v>
      </c>
      <c r="H17" s="803"/>
      <c r="I17" s="1267"/>
      <c r="J17" s="1267"/>
      <c r="K17" s="1267"/>
      <c r="L17" s="1268"/>
      <c r="M17" s="1268"/>
      <c r="O17" s="3541"/>
      <c r="P17" s="3541"/>
      <c r="Q17" s="3541"/>
    </row>
    <row r="18" spans="1:25" s="6" customFormat="1" ht="12" customHeight="1">
      <c r="B18" s="1280" t="s">
        <v>3271</v>
      </c>
      <c r="C18" s="1276"/>
      <c r="D18" s="1275" t="s">
        <v>1491</v>
      </c>
      <c r="E18" s="801"/>
      <c r="F18" s="208"/>
      <c r="G18" s="208" t="s">
        <v>416</v>
      </c>
      <c r="H18" s="203"/>
      <c r="I18" s="1267"/>
      <c r="J18" s="1267"/>
      <c r="K18" s="1267"/>
      <c r="L18" s="1268"/>
      <c r="M18" s="1268"/>
      <c r="O18" s="3541"/>
      <c r="P18" s="3541"/>
      <c r="Q18" s="3541"/>
    </row>
    <row r="19" spans="1:25" s="6" customFormat="1" ht="12" customHeight="1">
      <c r="B19" s="1277" t="s">
        <v>1292</v>
      </c>
      <c r="C19" s="1278"/>
      <c r="D19" s="1283" t="s">
        <v>3076</v>
      </c>
      <c r="E19" s="1265" t="s">
        <v>2652</v>
      </c>
      <c r="F19" s="208"/>
      <c r="G19" s="208" t="s">
        <v>416</v>
      </c>
      <c r="H19" s="802"/>
      <c r="I19" s="1267"/>
      <c r="J19" s="1267"/>
      <c r="K19" s="1267"/>
      <c r="L19" s="1268"/>
      <c r="M19" s="1268"/>
      <c r="O19" s="3541"/>
      <c r="P19" s="3541"/>
      <c r="Q19" s="3541"/>
    </row>
    <row r="20" spans="1:25" s="6" customFormat="1" ht="12" customHeight="1">
      <c r="B20" s="1281" t="s">
        <v>1715</v>
      </c>
      <c r="C20" s="1282"/>
      <c r="D20" s="205"/>
      <c r="E20" s="187"/>
      <c r="F20" s="208"/>
      <c r="G20" s="208" t="s">
        <v>416</v>
      </c>
      <c r="H20" s="803"/>
      <c r="I20" s="1267"/>
      <c r="J20" s="1267"/>
      <c r="K20" s="1267"/>
      <c r="L20" s="1268"/>
      <c r="M20" s="1268"/>
      <c r="O20" s="3541"/>
      <c r="P20" s="3541"/>
      <c r="Q20" s="3541"/>
    </row>
    <row r="21" spans="1:25" s="6" customFormat="1" ht="12" customHeight="1">
      <c r="B21" s="1281" t="s">
        <v>690</v>
      </c>
      <c r="C21" s="3550"/>
      <c r="D21" s="3551"/>
      <c r="E21" s="3552"/>
      <c r="F21" s="209"/>
      <c r="G21" s="209"/>
      <c r="H21" s="805"/>
      <c r="I21" s="1269"/>
      <c r="J21" s="1269"/>
      <c r="K21" s="1269"/>
      <c r="L21" s="1270"/>
      <c r="M21" s="1270"/>
      <c r="O21" s="3541"/>
      <c r="P21" s="3541"/>
      <c r="Q21" s="3541"/>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3"/>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7" t="s">
        <v>567</v>
      </c>
      <c r="G27" s="3537"/>
      <c r="I27" s="3537" t="s">
        <v>193</v>
      </c>
      <c r="J27" s="3537"/>
      <c r="K27" s="3537"/>
      <c r="L27" s="3537"/>
      <c r="M27" s="3537"/>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8" t="s">
        <v>1689</v>
      </c>
      <c r="E30" s="3549"/>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8" t="s">
        <v>1689</v>
      </c>
      <c r="E31" s="3549"/>
      <c r="F31" s="208"/>
      <c r="G31" s="208"/>
      <c r="H31" s="203"/>
      <c r="I31" s="1267"/>
      <c r="J31" s="1267"/>
      <c r="K31" s="1267"/>
      <c r="L31" s="1268"/>
      <c r="M31" s="1268"/>
      <c r="O31" s="3541" t="s">
        <v>3275</v>
      </c>
      <c r="P31" s="3541"/>
      <c r="Q31" s="3541"/>
    </row>
    <row r="32" spans="1:25" s="6" customFormat="1" ht="12" customHeight="1">
      <c r="B32" s="1277" t="s">
        <v>440</v>
      </c>
      <c r="C32" s="1278"/>
      <c r="D32" s="1277" t="s">
        <v>1491</v>
      </c>
      <c r="E32" s="204"/>
      <c r="F32" s="208"/>
      <c r="G32" s="208"/>
      <c r="H32" s="802"/>
      <c r="I32" s="1267"/>
      <c r="J32" s="1267"/>
      <c r="K32" s="1267"/>
      <c r="L32" s="1268"/>
      <c r="M32" s="1268"/>
      <c r="O32" s="3541"/>
      <c r="P32" s="3541"/>
      <c r="Q32" s="3541"/>
    </row>
    <row r="33" spans="1:19" s="6" customFormat="1" ht="12" customHeight="1">
      <c r="B33" s="1279" t="s">
        <v>3269</v>
      </c>
      <c r="C33" s="1274"/>
      <c r="D33" s="1273" t="s">
        <v>1491</v>
      </c>
      <c r="E33" s="801"/>
      <c r="F33" s="208"/>
      <c r="G33" s="208"/>
      <c r="H33" s="803"/>
      <c r="I33" s="1267"/>
      <c r="J33" s="1267"/>
      <c r="K33" s="1267"/>
      <c r="L33" s="1268"/>
      <c r="M33" s="1268"/>
      <c r="O33" s="3541"/>
      <c r="P33" s="3541"/>
      <c r="Q33" s="3541"/>
    </row>
    <row r="34" spans="1:19" s="6" customFormat="1" ht="12" customHeight="1">
      <c r="B34" s="1279" t="s">
        <v>3270</v>
      </c>
      <c r="C34" s="1274"/>
      <c r="D34" s="1273" t="s">
        <v>1491</v>
      </c>
      <c r="E34" s="801"/>
      <c r="F34" s="208"/>
      <c r="G34" s="208"/>
      <c r="H34" s="803"/>
      <c r="I34" s="1267"/>
      <c r="J34" s="1267"/>
      <c r="K34" s="1267"/>
      <c r="L34" s="1268"/>
      <c r="M34" s="1268"/>
      <c r="O34" s="3541"/>
      <c r="P34" s="3541"/>
      <c r="Q34" s="3541"/>
    </row>
    <row r="35" spans="1:19" s="6" customFormat="1" ht="12" customHeight="1">
      <c r="B35" s="1280" t="s">
        <v>3271</v>
      </c>
      <c r="C35" s="1276"/>
      <c r="D35" s="1275" t="s">
        <v>1491</v>
      </c>
      <c r="E35" s="801"/>
      <c r="F35" s="208"/>
      <c r="G35" s="208"/>
      <c r="H35" s="203"/>
      <c r="I35" s="1267"/>
      <c r="J35" s="1267"/>
      <c r="K35" s="1267"/>
      <c r="L35" s="1268"/>
      <c r="M35" s="1268"/>
      <c r="O35" s="3541"/>
      <c r="P35" s="3541"/>
      <c r="Q35" s="3541"/>
    </row>
    <row r="36" spans="1:19" s="6" customFormat="1" ht="12" customHeight="1">
      <c r="B36" s="1277" t="s">
        <v>1292</v>
      </c>
      <c r="C36" s="1278"/>
      <c r="D36" s="1283" t="s">
        <v>3076</v>
      </c>
      <c r="E36" s="1265" t="s">
        <v>194</v>
      </c>
      <c r="F36" s="208"/>
      <c r="G36" s="208"/>
      <c r="H36" s="802"/>
      <c r="I36" s="1267"/>
      <c r="J36" s="1267"/>
      <c r="K36" s="1267"/>
      <c r="L36" s="1268"/>
      <c r="M36" s="1268"/>
      <c r="O36" s="3541"/>
      <c r="P36" s="3541"/>
      <c r="Q36" s="3541"/>
    </row>
    <row r="37" spans="1:19" s="6" customFormat="1" ht="12" customHeight="1">
      <c r="B37" s="1281" t="s">
        <v>1715</v>
      </c>
      <c r="C37" s="1282"/>
      <c r="D37" s="205"/>
      <c r="E37" s="187"/>
      <c r="F37" s="208"/>
      <c r="G37" s="208"/>
      <c r="H37" s="803"/>
      <c r="I37" s="1267"/>
      <c r="J37" s="1267"/>
      <c r="K37" s="1267"/>
      <c r="L37" s="1268"/>
      <c r="M37" s="1268"/>
      <c r="O37" s="3541"/>
      <c r="P37" s="3541"/>
      <c r="Q37" s="3541"/>
    </row>
    <row r="38" spans="1:19" s="6" customFormat="1" ht="12" customHeight="1">
      <c r="B38" s="1281" t="s">
        <v>690</v>
      </c>
      <c r="C38" s="3550"/>
      <c r="D38" s="3551"/>
      <c r="E38" s="3552"/>
      <c r="F38" s="209"/>
      <c r="G38" s="209"/>
      <c r="H38" s="805"/>
      <c r="I38" s="1269"/>
      <c r="J38" s="1269"/>
      <c r="K38" s="1269"/>
      <c r="L38" s="1270"/>
      <c r="M38" s="1270"/>
      <c r="O38" s="3541"/>
      <c r="P38" s="3541"/>
      <c r="Q38" s="3541"/>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1"/>
      <c r="P39" s="3541"/>
      <c r="Q39" s="3541"/>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2" t="s">
        <v>7084</v>
      </c>
      <c r="C43" s="3543"/>
      <c r="D43" s="3543"/>
      <c r="E43" s="3543"/>
      <c r="F43" s="3543"/>
      <c r="G43" s="3543"/>
      <c r="H43" s="3543"/>
      <c r="I43" s="3543"/>
      <c r="J43" s="3543"/>
      <c r="K43" s="3543"/>
      <c r="L43" s="3543"/>
      <c r="M43" s="3544"/>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5"/>
      <c r="C46" s="3546"/>
      <c r="D46" s="3546"/>
      <c r="E46" s="3546"/>
      <c r="F46" s="3546"/>
      <c r="G46" s="3546"/>
      <c r="H46" s="3546"/>
      <c r="I46" s="3546"/>
      <c r="J46" s="3546"/>
      <c r="K46" s="3546"/>
      <c r="L46" s="3546"/>
      <c r="M46" s="3547"/>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install</cp:lastModifiedBy>
  <cp:lastPrinted>2023-04-28T17:11:20Z</cp:lastPrinted>
  <dcterms:created xsi:type="dcterms:W3CDTF">2005-09-15T20:51:37Z</dcterms:created>
  <dcterms:modified xsi:type="dcterms:W3CDTF">2023-05-19T12:32:52Z</dcterms:modified>
</cp:coreProperties>
</file>